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0" windowWidth="18720" windowHeight="5250" tabRatio="559"/>
  </bookViews>
  <sheets>
    <sheet name="Udio" sheetId="4" r:id="rId1"/>
    <sheet name="HHI - Životno" sheetId="5" r:id="rId2"/>
    <sheet name="HHI - Neživotno" sheetId="6" r:id="rId3"/>
    <sheet name="HHI - Ukupno" sheetId="7" r:id="rId4"/>
  </sheets>
  <calcPr calcId="145621"/>
</workbook>
</file>

<file path=xl/calcChain.xml><?xml version="1.0" encoding="utf-8"?>
<calcChain xmlns="http://schemas.openxmlformats.org/spreadsheetml/2006/main">
  <c r="C37" i="6" l="1"/>
  <c r="E33" i="6"/>
  <c r="C33" i="6"/>
  <c r="F33" i="6"/>
  <c r="C11" i="6"/>
  <c r="F11" i="6"/>
  <c r="F29" i="6"/>
  <c r="F31" i="7" s="1"/>
  <c r="F31" i="6"/>
  <c r="F27" i="6"/>
  <c r="F32" i="6"/>
  <c r="F30" i="6"/>
  <c r="F26" i="6"/>
  <c r="F25" i="6"/>
  <c r="F24" i="6"/>
  <c r="F22" i="6"/>
  <c r="F21" i="6"/>
  <c r="F23" i="6"/>
  <c r="F28" i="6"/>
  <c r="F20" i="6"/>
  <c r="F19" i="6"/>
  <c r="F18" i="6"/>
  <c r="F16" i="6"/>
  <c r="F15" i="6"/>
  <c r="F17" i="6"/>
  <c r="F13" i="6"/>
  <c r="F14" i="6"/>
  <c r="F12" i="6"/>
  <c r="F9" i="6"/>
  <c r="F10" i="6"/>
  <c r="F8" i="6"/>
  <c r="F6" i="6"/>
  <c r="F7" i="6"/>
  <c r="F15" i="5"/>
  <c r="F13" i="5"/>
  <c r="F14" i="5"/>
  <c r="F12" i="5"/>
  <c r="G12" i="5" s="1"/>
  <c r="F11" i="5"/>
  <c r="F10" i="5"/>
  <c r="F9" i="5"/>
  <c r="F8" i="5"/>
  <c r="F7" i="5"/>
  <c r="F6" i="5"/>
  <c r="F16" i="5" s="1"/>
  <c r="G6" i="5" l="1"/>
  <c r="F32" i="7"/>
  <c r="F29" i="7"/>
  <c r="G11" i="6"/>
  <c r="H11" i="6" s="1"/>
  <c r="G8" i="6" l="1"/>
  <c r="G10" i="6"/>
  <c r="G12" i="6"/>
  <c r="G13" i="6"/>
  <c r="G15" i="6"/>
  <c r="G18" i="6"/>
  <c r="G20" i="6"/>
  <c r="G23" i="6"/>
  <c r="G22" i="6"/>
  <c r="G30" i="6"/>
  <c r="G29" i="6"/>
  <c r="H29" i="6" s="1"/>
  <c r="G6" i="6"/>
  <c r="G9" i="6"/>
  <c r="G14" i="6"/>
  <c r="G17" i="6"/>
  <c r="G16" i="6"/>
  <c r="G19" i="6"/>
  <c r="G28" i="6"/>
  <c r="G21" i="6"/>
  <c r="G24" i="6"/>
  <c r="G26" i="6"/>
  <c r="G32" i="6"/>
  <c r="G31" i="6"/>
  <c r="H31" i="6" s="1"/>
  <c r="G25" i="6"/>
  <c r="G27" i="6"/>
  <c r="H27" i="6" s="1"/>
  <c r="F7" i="7"/>
  <c r="F8" i="7"/>
  <c r="F6" i="7"/>
  <c r="F9" i="7"/>
  <c r="F11" i="7"/>
  <c r="F10" i="7"/>
  <c r="F12" i="7"/>
  <c r="F13" i="7"/>
  <c r="F14" i="7"/>
  <c r="F15" i="7"/>
  <c r="F16" i="7"/>
  <c r="F19" i="7"/>
  <c r="F17" i="7"/>
  <c r="F18" i="7"/>
  <c r="F20" i="7"/>
  <c r="F21" i="7"/>
  <c r="F22" i="7"/>
  <c r="F23" i="7"/>
  <c r="F30" i="7"/>
  <c r="F26" i="7"/>
  <c r="F24" i="7"/>
  <c r="F25" i="7"/>
  <c r="F27" i="7"/>
  <c r="F28" i="7"/>
  <c r="C15" i="5"/>
  <c r="C13" i="5"/>
  <c r="C14" i="5"/>
  <c r="C12" i="5"/>
  <c r="C11" i="5"/>
  <c r="C10" i="5"/>
  <c r="C9" i="5"/>
  <c r="C8" i="5"/>
  <c r="C7" i="5"/>
  <c r="C6" i="5"/>
  <c r="C32" i="6"/>
  <c r="C22" i="7" s="1"/>
  <c r="C30" i="6"/>
  <c r="C26" i="6"/>
  <c r="C28" i="7" s="1"/>
  <c r="C25" i="6"/>
  <c r="C27" i="7" s="1"/>
  <c r="C24" i="6"/>
  <c r="C13" i="7" s="1"/>
  <c r="C22" i="6"/>
  <c r="C25" i="7" s="1"/>
  <c r="C21" i="6"/>
  <c r="C24" i="7" s="1"/>
  <c r="C23" i="6"/>
  <c r="C26" i="7" s="1"/>
  <c r="C28" i="6"/>
  <c r="C30" i="7" s="1"/>
  <c r="C20" i="6"/>
  <c r="C23" i="7" s="1"/>
  <c r="C19" i="6"/>
  <c r="C21" i="7" s="1"/>
  <c r="C18" i="6"/>
  <c r="C20" i="7" s="1"/>
  <c r="C16" i="6"/>
  <c r="C18" i="7" s="1"/>
  <c r="C15" i="6"/>
  <c r="C17" i="6"/>
  <c r="C19" i="7" s="1"/>
  <c r="C13" i="6"/>
  <c r="C14" i="6"/>
  <c r="C16" i="7" s="1"/>
  <c r="C12" i="6"/>
  <c r="C15" i="7" s="1"/>
  <c r="C9" i="6"/>
  <c r="C10" i="6"/>
  <c r="C8" i="6"/>
  <c r="C9" i="7" s="1"/>
  <c r="C6" i="6"/>
  <c r="C8" i="7" s="1"/>
  <c r="C7" i="6"/>
  <c r="C17" i="7" l="1"/>
  <c r="D11" i="6"/>
  <c r="E11" i="6" s="1"/>
  <c r="C16" i="5"/>
  <c r="C6" i="7"/>
  <c r="C11" i="7"/>
  <c r="C7" i="7"/>
  <c r="C14" i="7"/>
  <c r="C10" i="7"/>
  <c r="F33" i="7"/>
  <c r="G31" i="7" s="1"/>
  <c r="H31" i="7" s="1"/>
  <c r="C12" i="7"/>
  <c r="C33" i="7" l="1"/>
  <c r="D8" i="7" s="1"/>
  <c r="G29" i="7"/>
  <c r="H29" i="7" s="1"/>
  <c r="G32" i="7"/>
  <c r="H32" i="7" s="1"/>
  <c r="D6" i="5" l="1"/>
  <c r="D8" i="5"/>
  <c r="E8" i="5" s="1"/>
  <c r="D10" i="5"/>
  <c r="E10" i="5" s="1"/>
  <c r="D12" i="5"/>
  <c r="E12" i="5" s="1"/>
  <c r="D13" i="5"/>
  <c r="E13" i="5" s="1"/>
  <c r="D15" i="5"/>
  <c r="E15" i="5" s="1"/>
  <c r="D14" i="5"/>
  <c r="E14" i="5" s="1"/>
  <c r="D9" i="5"/>
  <c r="E9" i="5" s="1"/>
  <c r="D11" i="5"/>
  <c r="E11" i="5" s="1"/>
  <c r="D7" i="5"/>
  <c r="E7" i="5" s="1"/>
  <c r="G8" i="5"/>
  <c r="H8" i="5" s="1"/>
  <c r="G10" i="5"/>
  <c r="H10" i="5" s="1"/>
  <c r="H12" i="5"/>
  <c r="G13" i="5"/>
  <c r="H13" i="5" s="1"/>
  <c r="G15" i="5"/>
  <c r="H15" i="5" s="1"/>
  <c r="G11" i="5"/>
  <c r="H11" i="5" s="1"/>
  <c r="G7" i="5"/>
  <c r="H7" i="5" s="1"/>
  <c r="G14" i="5"/>
  <c r="H14" i="5" s="1"/>
  <c r="G9" i="5"/>
  <c r="H9" i="5" s="1"/>
  <c r="D10" i="6"/>
  <c r="E10" i="6" s="1"/>
  <c r="G16" i="5" l="1"/>
  <c r="E6" i="5"/>
  <c r="E16" i="5" s="1"/>
  <c r="C21" i="5" s="1"/>
  <c r="D16" i="5"/>
  <c r="D20" i="5"/>
  <c r="C20" i="5"/>
  <c r="D32" i="6"/>
  <c r="E32" i="6" s="1"/>
  <c r="D24" i="6"/>
  <c r="E24" i="6" s="1"/>
  <c r="D21" i="6"/>
  <c r="E21" i="6" s="1"/>
  <c r="D19" i="6"/>
  <c r="E19" i="6" s="1"/>
  <c r="D17" i="6"/>
  <c r="E17" i="6" s="1"/>
  <c r="D7" i="6"/>
  <c r="D30" i="6"/>
  <c r="E30" i="6" s="1"/>
  <c r="D25" i="6"/>
  <c r="E25" i="6" s="1"/>
  <c r="D22" i="6"/>
  <c r="E22" i="6" s="1"/>
  <c r="D23" i="6"/>
  <c r="E23" i="6" s="1"/>
  <c r="D20" i="6"/>
  <c r="E20" i="6" s="1"/>
  <c r="D18" i="6"/>
  <c r="E18" i="6" s="1"/>
  <c r="D15" i="6"/>
  <c r="E15" i="6" s="1"/>
  <c r="D13" i="6"/>
  <c r="E13" i="6" s="1"/>
  <c r="D12" i="6"/>
  <c r="E12" i="6" s="1"/>
  <c r="D6" i="6"/>
  <c r="E6" i="6" s="1"/>
  <c r="D26" i="6"/>
  <c r="E26" i="6" s="1"/>
  <c r="D28" i="6"/>
  <c r="E28" i="6" s="1"/>
  <c r="D16" i="6"/>
  <c r="E16" i="6" s="1"/>
  <c r="D14" i="6"/>
  <c r="E14" i="6" s="1"/>
  <c r="D9" i="6"/>
  <c r="E9" i="6" s="1"/>
  <c r="D8" i="6"/>
  <c r="E8" i="6" s="1"/>
  <c r="H6" i="5"/>
  <c r="H16" i="5" s="1"/>
  <c r="D21" i="5" l="1"/>
  <c r="D33" i="6"/>
  <c r="E7" i="6"/>
  <c r="G7" i="7" l="1"/>
  <c r="G7" i="6"/>
  <c r="D37" i="6" s="1"/>
  <c r="D25" i="7"/>
  <c r="E25" i="7" s="1"/>
  <c r="D28" i="7"/>
  <c r="E28" i="7" s="1"/>
  <c r="D6" i="7"/>
  <c r="D13" i="7"/>
  <c r="E13" i="7" s="1"/>
  <c r="D23" i="7"/>
  <c r="E23" i="7" s="1"/>
  <c r="D7" i="7"/>
  <c r="D10" i="7"/>
  <c r="E10" i="7" s="1"/>
  <c r="D15" i="7"/>
  <c r="E15" i="7" s="1"/>
  <c r="D12" i="7"/>
  <c r="E12" i="7" s="1"/>
  <c r="D11" i="7"/>
  <c r="E11" i="7" s="1"/>
  <c r="D9" i="7"/>
  <c r="E9" i="7" s="1"/>
  <c r="D19" i="7"/>
  <c r="E19" i="7" s="1"/>
  <c r="D24" i="7"/>
  <c r="E24" i="7" s="1"/>
  <c r="E8" i="7"/>
  <c r="D14" i="7"/>
  <c r="E14" i="7" s="1"/>
  <c r="D18" i="7"/>
  <c r="E18" i="7" s="1"/>
  <c r="D17" i="7"/>
  <c r="E17" i="7" s="1"/>
  <c r="D22" i="7"/>
  <c r="E22" i="7" s="1"/>
  <c r="D27" i="7"/>
  <c r="E27" i="7" s="1"/>
  <c r="D16" i="7"/>
  <c r="E16" i="7" s="1"/>
  <c r="D30" i="7"/>
  <c r="E30" i="7" s="1"/>
  <c r="D20" i="7"/>
  <c r="E20" i="7" s="1"/>
  <c r="D26" i="7"/>
  <c r="E26" i="7" s="1"/>
  <c r="D21" i="7"/>
  <c r="E21" i="7" s="1"/>
  <c r="E6" i="7" l="1"/>
  <c r="C37" i="7"/>
  <c r="G33" i="6"/>
  <c r="D33" i="7"/>
  <c r="H7" i="6"/>
  <c r="E7" i="7"/>
  <c r="E33" i="7" s="1"/>
  <c r="G8" i="7"/>
  <c r="C38" i="7" l="1"/>
  <c r="H8" i="7"/>
  <c r="C38" i="6"/>
  <c r="H26" i="6"/>
  <c r="G26" i="7"/>
  <c r="H26" i="7" s="1"/>
  <c r="G19" i="7"/>
  <c r="H19" i="7" s="1"/>
  <c r="G25" i="7"/>
  <c r="H25" i="7" s="1"/>
  <c r="G27" i="7"/>
  <c r="H27" i="7" s="1"/>
  <c r="G30" i="7"/>
  <c r="H30" i="7" s="1"/>
  <c r="G21" i="7"/>
  <c r="H21" i="7" s="1"/>
  <c r="G12" i="7"/>
  <c r="H12" i="7" s="1"/>
  <c r="G9" i="7"/>
  <c r="H9" i="7" s="1"/>
  <c r="G28" i="7"/>
  <c r="H28" i="7" s="1"/>
  <c r="G23" i="7"/>
  <c r="H23" i="7" s="1"/>
  <c r="G20" i="7"/>
  <c r="H20" i="7" s="1"/>
  <c r="G16" i="7"/>
  <c r="H16" i="7" s="1"/>
  <c r="G13" i="7"/>
  <c r="H13" i="7" s="1"/>
  <c r="G22" i="7"/>
  <c r="H22" i="7" s="1"/>
  <c r="G14" i="7"/>
  <c r="H14" i="7" s="1"/>
  <c r="G6" i="7"/>
  <c r="G18" i="7"/>
  <c r="H18" i="7" s="1"/>
  <c r="G24" i="7"/>
  <c r="H24" i="7" s="1"/>
  <c r="G15" i="7"/>
  <c r="H15" i="7" s="1"/>
  <c r="G11" i="7"/>
  <c r="H11" i="7" s="1"/>
  <c r="H6" i="7" l="1"/>
  <c r="D37" i="7"/>
  <c r="H25" i="6"/>
  <c r="H30" i="6"/>
  <c r="H18" i="6"/>
  <c r="H32" i="6"/>
  <c r="H17" i="6"/>
  <c r="H15" i="6"/>
  <c r="H28" i="6"/>
  <c r="H16" i="6"/>
  <c r="H14" i="6"/>
  <c r="H22" i="6"/>
  <c r="H24" i="6"/>
  <c r="H20" i="6"/>
  <c r="H23" i="6"/>
  <c r="H19" i="6"/>
  <c r="H21" i="6"/>
  <c r="H13" i="6"/>
  <c r="H12" i="6"/>
  <c r="H9" i="6"/>
  <c r="H8" i="6"/>
  <c r="H10" i="6" l="1"/>
  <c r="H6" i="6"/>
  <c r="G10" i="7"/>
  <c r="G17" i="7"/>
  <c r="H7" i="7"/>
  <c r="G33" i="7" l="1"/>
  <c r="H33" i="6"/>
  <c r="D38" i="6" s="1"/>
  <c r="H17" i="7"/>
  <c r="H10" i="7"/>
  <c r="H33" i="7" l="1"/>
  <c r="D38" i="7" s="1"/>
</calcChain>
</file>

<file path=xl/sharedStrings.xml><?xml version="1.0" encoding="utf-8"?>
<sst xmlns="http://schemas.openxmlformats.org/spreadsheetml/2006/main" count="158" uniqueCount="56">
  <si>
    <t>HHI</t>
  </si>
  <si>
    <t>Tržišni udio</t>
  </si>
  <si>
    <t>UKUPNO:</t>
  </si>
  <si>
    <t>Merkur BH osiguranje d.d.</t>
  </si>
  <si>
    <t>Uniqa osiguranje d.d.</t>
  </si>
  <si>
    <t>Grawe osiguranje d.d.</t>
  </si>
  <si>
    <t>Grawe osiguranje a.d.</t>
  </si>
  <si>
    <t>Croatia osiguranje d.d.</t>
  </si>
  <si>
    <t>Triglav osiguranje d.d.</t>
  </si>
  <si>
    <t>Dunav osiguranje a.d.</t>
  </si>
  <si>
    <t>Euroherc osiguranje d.d.</t>
  </si>
  <si>
    <t>VGT osiguranje d.d.</t>
  </si>
  <si>
    <t>Drina osiguranje a.d.</t>
  </si>
  <si>
    <t>Zovko osiguranje d.d.</t>
  </si>
  <si>
    <t>Nešković osiguranje a.d.</t>
  </si>
  <si>
    <t>Triglav osiguranje a.d.</t>
  </si>
  <si>
    <t>ASA osiguranje d.d.</t>
  </si>
  <si>
    <t>Camelija osiguranje d.d.</t>
  </si>
  <si>
    <t>Krajina osiguranje a.d.</t>
  </si>
  <si>
    <t>Osiguranje Aura a.d.</t>
  </si>
  <si>
    <t>Mikrofin osiguranje a.d.</t>
  </si>
  <si>
    <t>Brčko-gas osiguranje d.d.</t>
  </si>
  <si>
    <t>Dominantno društvo</t>
  </si>
  <si>
    <t>Udio u ukupnoj premiji (%)</t>
  </si>
  <si>
    <t>Tržišni udio prva četiri društva</t>
  </si>
  <si>
    <t>Bosna-Sunce osiguranje d.d.</t>
  </si>
  <si>
    <t>Sarajevo-osiguranje d.d.</t>
  </si>
  <si>
    <t>Osiguranje Garant d.d.</t>
  </si>
  <si>
    <t>III K 2015.*</t>
  </si>
  <si>
    <t>III K 2016.**</t>
  </si>
  <si>
    <t>Koncentracija tržišta osiguranja u BiH za treći kvartal 2015. i 2016.</t>
  </si>
  <si>
    <t>HHI indeks za tržište životnog osiguranja u BiH za treći kvartal 2015. i 2016. godine</t>
  </si>
  <si>
    <t>HHI indeks za tržište neživotnog osiguranja u BiH  za treći kvartal 2015. i 2016. godine</t>
  </si>
  <si>
    <t>HHI indeks za tržište životnog i neživotnog osiguranja u BiH  za treći kvartal 2015. i 2016. godine</t>
  </si>
  <si>
    <t>-</t>
  </si>
  <si>
    <t>Wiener osiguranje a.d.</t>
  </si>
  <si>
    <t>Bobar osiguranje a.d.***</t>
  </si>
  <si>
    <t>Euros osiguranje a.d.****</t>
  </si>
  <si>
    <t>Central osiguranje d.d.*****</t>
  </si>
  <si>
    <t>SAS - Super P osiguranje a.d.******</t>
  </si>
  <si>
    <t>Atos osiguranje a.d.***</t>
  </si>
  <si>
    <t>Prvih pet osiguravatelja</t>
  </si>
  <si>
    <t>Prvih deset osiguravatelja</t>
  </si>
  <si>
    <t>*Podatci se odnose na razdoblje od 01.01. do 30.09.2015. godine.</t>
  </si>
  <si>
    <t>**Podatci se odnose na razdoblje od 01.01. do 30.09.2016. godine.</t>
  </si>
  <si>
    <t>Premija (u tisućama KM)</t>
  </si>
  <si>
    <t>promijenilo je naziv u Atos osiguranje a.d.</t>
  </si>
  <si>
    <t>Osiguravajuće društvo</t>
  </si>
  <si>
    <t>****Euros osiguranje a.d. novo je osiguravajuće društvo</t>
  </si>
  <si>
    <t>*****Central osiguranje d.d. novo je osiguravajuće društvo</t>
  </si>
  <si>
    <t>*****SAS - Super P osiguranje a.d. novo je osiguravajuće</t>
  </si>
  <si>
    <t>******SAS - Super P osiguranje a.d. novo je osiguravajuće</t>
  </si>
  <si>
    <t>***U tijeku 2016. godine Bobar osiguranje a.d.</t>
  </si>
  <si>
    <t>koje je počelo s radom početkom 2016. godine.</t>
  </si>
  <si>
    <t>koje je počelo s radom sredinom 2016. godine.</t>
  </si>
  <si>
    <t>društvo koje je počelo s radom sredinom 2016. godine.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</si>
</sst>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[$€]_-;\-* #,##0.00\ [$€]_-;_-* &quot;-&quot;??\ [$€]_-;_-@_-"/>
    <numFmt numFmtId="165" formatCode="_(* #,##0.00_);_(* \(#,##0.00\);_(* &quot;-&quot;??_);_(@_)"/>
  </numFmts>
  <fonts count="59" x14ac:knownFonts="1">
    <font>
      <sz val="10"/>
      <name val="Arial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name val="Arial CE"/>
      <charset val="238"/>
    </font>
    <font>
      <b/>
      <sz val="11"/>
      <color indexed="63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10"/>
      <name val="Calibri"/>
      <family val="2"/>
      <charset val="204"/>
    </font>
    <font>
      <sz val="8"/>
      <name val="Calibri"/>
      <family val="2"/>
      <charset val="238"/>
    </font>
    <font>
      <sz val="10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2"/>
      <color indexed="8"/>
      <name val="Calibri"/>
      <family val="2"/>
      <charset val="204"/>
      <scheme val="minor"/>
    </font>
    <font>
      <b/>
      <sz val="10"/>
      <color rgb="FF00B0F0"/>
      <name val="Calibri"/>
      <family val="2"/>
      <scheme val="minor"/>
    </font>
    <font>
      <b/>
      <sz val="12"/>
      <color rgb="FF00B0F0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color indexed="8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  <charset val="238"/>
    </font>
    <font>
      <sz val="9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rgb="FF00B050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color rgb="FF00B05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name val="Bookman Old Style"/>
      <family val="1"/>
      <charset val="238"/>
    </font>
    <font>
      <sz val="9"/>
      <name val="Bookman Old Style"/>
      <family val="1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color theme="1"/>
      <name val="Calibri"/>
      <family val="2"/>
      <charset val="204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2"/>
      <name val="Calibri"/>
      <family val="2"/>
      <charset val="238"/>
      <scheme val="minor"/>
    </font>
    <font>
      <sz val="9"/>
      <color theme="1"/>
      <name val="Calibri"/>
      <family val="2"/>
      <charset val="204"/>
      <scheme val="minor"/>
    </font>
    <font>
      <sz val="9"/>
      <color theme="1"/>
      <name val="Bookman Old Style"/>
      <family val="1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18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0" fontId="8" fillId="20" borderId="1" applyNumberFormat="0" applyAlignment="0" applyProtection="0"/>
    <xf numFmtId="0" fontId="9" fillId="21" borderId="2" applyNumberFormat="0" applyAlignment="0" applyProtection="0"/>
    <xf numFmtId="165" fontId="11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4" borderId="0" applyNumberFormat="0" applyBorder="0" applyAlignment="0" applyProtection="0"/>
    <xf numFmtId="0" fontId="15" fillId="0" borderId="3" applyNumberFormat="0" applyFill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7" fillId="0" borderId="0" applyNumberFormat="0" applyFill="0" applyBorder="0" applyAlignment="0" applyProtection="0"/>
    <xf numFmtId="0" fontId="18" fillId="7" borderId="1" applyNumberFormat="0" applyAlignment="0" applyProtection="0"/>
    <xf numFmtId="0" fontId="19" fillId="0" borderId="6" applyNumberFormat="0" applyFill="0" applyAlignment="0" applyProtection="0"/>
    <xf numFmtId="0" fontId="12" fillId="0" borderId="0"/>
    <xf numFmtId="0" fontId="20" fillId="22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1" fillId="0" borderId="0"/>
    <xf numFmtId="0" fontId="10" fillId="23" borderId="7" applyNumberFormat="0" applyFont="0" applyAlignment="0" applyProtection="0"/>
    <xf numFmtId="0" fontId="22" fillId="20" borderId="8" applyNumberFormat="0" applyAlignment="0" applyProtection="0"/>
    <xf numFmtId="0" fontId="12" fillId="0" borderId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25" fillId="0" borderId="0" applyNumberFormat="0" applyFill="0" applyBorder="0" applyAlignment="0" applyProtection="0"/>
    <xf numFmtId="0" fontId="41" fillId="0" borderId="0"/>
    <xf numFmtId="0" fontId="4" fillId="0" borderId="0"/>
    <xf numFmtId="0" fontId="41" fillId="0" borderId="0"/>
    <xf numFmtId="0" fontId="41" fillId="0" borderId="0"/>
    <xf numFmtId="0" fontId="41" fillId="0" borderId="0"/>
    <xf numFmtId="0" fontId="4" fillId="0" borderId="0"/>
    <xf numFmtId="0" fontId="41" fillId="0" borderId="0"/>
    <xf numFmtId="0" fontId="4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41" fillId="0" borderId="0"/>
    <xf numFmtId="0" fontId="41" fillId="0" borderId="0"/>
    <xf numFmtId="0" fontId="10" fillId="0" borderId="0"/>
  </cellStyleXfs>
  <cellXfs count="147">
    <xf numFmtId="0" fontId="0" fillId="0" borderId="0" xfId="0"/>
    <xf numFmtId="0" fontId="27" fillId="0" borderId="0" xfId="40" applyFont="1"/>
    <xf numFmtId="0" fontId="27" fillId="0" borderId="0" xfId="151" applyFont="1"/>
    <xf numFmtId="1" fontId="27" fillId="0" borderId="0" xfId="151" applyNumberFormat="1" applyFont="1"/>
    <xf numFmtId="0" fontId="29" fillId="0" borderId="0" xfId="151" applyFont="1"/>
    <xf numFmtId="0" fontId="29" fillId="0" borderId="0" xfId="151" applyFont="1" applyAlignment="1">
      <alignment horizontal="left"/>
    </xf>
    <xf numFmtId="3" fontId="29" fillId="0" borderId="0" xfId="151" applyNumberFormat="1" applyFont="1"/>
    <xf numFmtId="0" fontId="29" fillId="0" borderId="0" xfId="151" applyFont="1" applyBorder="1"/>
    <xf numFmtId="0" fontId="32" fillId="0" borderId="0" xfId="151" applyFont="1" applyBorder="1"/>
    <xf numFmtId="3" fontId="27" fillId="0" borderId="0" xfId="151" applyNumberFormat="1" applyFont="1" applyBorder="1"/>
    <xf numFmtId="3" fontId="31" fillId="0" borderId="0" xfId="151" applyNumberFormat="1" applyFont="1" applyBorder="1"/>
    <xf numFmtId="0" fontId="35" fillId="26" borderId="16" xfId="151" applyFont="1" applyFill="1" applyBorder="1" applyAlignment="1">
      <alignment horizontal="right" vertical="center" wrapText="1"/>
    </xf>
    <xf numFmtId="0" fontId="35" fillId="26" borderId="10" xfId="151" applyFont="1" applyFill="1" applyBorder="1" applyAlignment="1">
      <alignment horizontal="center" vertical="center" wrapText="1"/>
    </xf>
    <xf numFmtId="0" fontId="35" fillId="26" borderId="10" xfId="151" applyFont="1" applyFill="1" applyBorder="1" applyAlignment="1">
      <alignment horizontal="center" vertical="center"/>
    </xf>
    <xf numFmtId="0" fontId="35" fillId="26" borderId="15" xfId="151" applyFont="1" applyFill="1" applyBorder="1" applyAlignment="1">
      <alignment horizontal="center" vertical="center"/>
    </xf>
    <xf numFmtId="2" fontId="36" fillId="25" borderId="10" xfId="151" applyNumberFormat="1" applyFont="1" applyFill="1" applyBorder="1" applyAlignment="1">
      <alignment horizontal="right"/>
    </xf>
    <xf numFmtId="1" fontId="36" fillId="0" borderId="15" xfId="151" applyNumberFormat="1" applyFont="1" applyBorder="1" applyAlignment="1">
      <alignment horizontal="right"/>
    </xf>
    <xf numFmtId="2" fontId="36" fillId="0" borderId="10" xfId="151" applyNumberFormat="1" applyFont="1" applyFill="1" applyBorder="1" applyAlignment="1">
      <alignment horizontal="right"/>
    </xf>
    <xf numFmtId="0" fontId="35" fillId="26" borderId="16" xfId="151" applyFont="1" applyFill="1" applyBorder="1" applyAlignment="1">
      <alignment horizontal="right" wrapText="1"/>
    </xf>
    <xf numFmtId="3" fontId="35" fillId="26" borderId="17" xfId="151" applyNumberFormat="1" applyFont="1" applyFill="1" applyBorder="1" applyAlignment="1">
      <alignment horizontal="right"/>
    </xf>
    <xf numFmtId="1" fontId="35" fillId="26" borderId="17" xfId="151" applyNumberFormat="1" applyFont="1" applyFill="1" applyBorder="1" applyAlignment="1">
      <alignment horizontal="right"/>
    </xf>
    <xf numFmtId="1" fontId="34" fillId="24" borderId="15" xfId="151" applyNumberFormat="1" applyFont="1" applyFill="1" applyBorder="1" applyAlignment="1">
      <alignment horizontal="right"/>
    </xf>
    <xf numFmtId="1" fontId="33" fillId="26" borderId="17" xfId="151" applyNumberFormat="1" applyFont="1" applyFill="1" applyBorder="1" applyAlignment="1">
      <alignment horizontal="right"/>
    </xf>
    <xf numFmtId="1" fontId="33" fillId="26" borderId="18" xfId="151" applyNumberFormat="1" applyFont="1" applyFill="1" applyBorder="1" applyAlignment="1">
      <alignment horizontal="right"/>
    </xf>
    <xf numFmtId="0" fontId="33" fillId="25" borderId="11" xfId="40" applyFont="1" applyFill="1" applyBorder="1" applyAlignment="1">
      <alignment horizontal="center" vertical="center"/>
    </xf>
    <xf numFmtId="0" fontId="33" fillId="25" borderId="12" xfId="40" applyFont="1" applyFill="1" applyBorder="1" applyAlignment="1">
      <alignment horizontal="center" vertical="center"/>
    </xf>
    <xf numFmtId="0" fontId="33" fillId="25" borderId="13" xfId="40" applyFont="1" applyFill="1" applyBorder="1" applyAlignment="1">
      <alignment horizontal="center" vertical="center"/>
    </xf>
    <xf numFmtId="0" fontId="34" fillId="0" borderId="14" xfId="40" applyFont="1" applyBorder="1"/>
    <xf numFmtId="0" fontId="34" fillId="0" borderId="14" xfId="40" applyFont="1" applyBorder="1" applyAlignment="1">
      <alignment horizontal="left"/>
    </xf>
    <xf numFmtId="0" fontId="34" fillId="0" borderId="16" xfId="40" applyFont="1" applyBorder="1" applyAlignment="1">
      <alignment horizontal="left"/>
    </xf>
    <xf numFmtId="0" fontId="37" fillId="0" borderId="0" xfId="40" applyFont="1"/>
    <xf numFmtId="3" fontId="35" fillId="26" borderId="18" xfId="151" applyNumberFormat="1" applyFont="1" applyFill="1" applyBorder="1" applyAlignment="1">
      <alignment horizontal="right" vertical="center"/>
    </xf>
    <xf numFmtId="3" fontId="38" fillId="0" borderId="0" xfId="151" applyNumberFormat="1" applyFont="1" applyFill="1" applyBorder="1" applyAlignment="1">
      <alignment horizontal="right" wrapText="1"/>
    </xf>
    <xf numFmtId="0" fontId="39" fillId="0" borderId="0" xfId="0" applyFont="1"/>
    <xf numFmtId="3" fontId="40" fillId="0" borderId="0" xfId="151" applyNumberFormat="1" applyFont="1"/>
    <xf numFmtId="3" fontId="38" fillId="0" borderId="0" xfId="151" applyNumberFormat="1" applyFont="1" applyFill="1" applyBorder="1" applyAlignment="1">
      <alignment horizontal="right" vertical="center"/>
    </xf>
    <xf numFmtId="0" fontId="42" fillId="0" borderId="0" xfId="40" applyFont="1" applyBorder="1" applyAlignment="1"/>
    <xf numFmtId="4" fontId="29" fillId="0" borderId="0" xfId="151" applyNumberFormat="1" applyFont="1"/>
    <xf numFmtId="3" fontId="27" fillId="0" borderId="0" xfId="151" applyNumberFormat="1" applyFont="1"/>
    <xf numFmtId="0" fontId="43" fillId="0" borderId="14" xfId="151" applyFont="1" applyBorder="1" applyAlignment="1">
      <alignment horizontal="left" wrapText="1"/>
    </xf>
    <xf numFmtId="0" fontId="43" fillId="0" borderId="14" xfId="151" applyFont="1" applyBorder="1" applyAlignment="1">
      <alignment horizontal="left"/>
    </xf>
    <xf numFmtId="10" fontId="43" fillId="0" borderId="10" xfId="151" applyNumberFormat="1" applyFont="1" applyBorder="1" applyAlignment="1">
      <alignment horizontal="center"/>
    </xf>
    <xf numFmtId="0" fontId="43" fillId="24" borderId="14" xfId="151" applyFont="1" applyFill="1" applyBorder="1" applyAlignment="1">
      <alignment horizontal="left"/>
    </xf>
    <xf numFmtId="0" fontId="43" fillId="24" borderId="14" xfId="151" applyFont="1" applyFill="1" applyBorder="1" applyAlignment="1">
      <alignment horizontal="left" wrapText="1"/>
    </xf>
    <xf numFmtId="1" fontId="29" fillId="0" borderId="0" xfId="151" applyNumberFormat="1" applyFont="1"/>
    <xf numFmtId="0" fontId="43" fillId="24" borderId="14" xfId="151" applyFont="1" applyFill="1" applyBorder="1" applyAlignment="1">
      <alignment horizontal="justify" vertical="center"/>
    </xf>
    <xf numFmtId="0" fontId="43" fillId="24" borderId="14" xfId="151" applyFont="1" applyFill="1" applyBorder="1" applyAlignment="1">
      <alignment horizontal="justify" vertical="center" wrapText="1"/>
    </xf>
    <xf numFmtId="0" fontId="43" fillId="24" borderId="14" xfId="151" applyFont="1" applyFill="1" applyBorder="1" applyAlignment="1">
      <alignment horizontal="left" vertical="center"/>
    </xf>
    <xf numFmtId="3" fontId="44" fillId="0" borderId="0" xfId="151" applyNumberFormat="1" applyFont="1"/>
    <xf numFmtId="0" fontId="45" fillId="0" borderId="14" xfId="151" applyFont="1" applyBorder="1" applyAlignment="1">
      <alignment wrapText="1"/>
    </xf>
    <xf numFmtId="3" fontId="46" fillId="0" borderId="0" xfId="151" applyNumberFormat="1" applyFont="1"/>
    <xf numFmtId="0" fontId="45" fillId="24" borderId="14" xfId="151" applyFont="1" applyFill="1" applyBorder="1" applyAlignment="1">
      <alignment horizontal="left" wrapText="1"/>
    </xf>
    <xf numFmtId="4" fontId="0" fillId="0" borderId="0" xfId="0" applyNumberFormat="1" applyBorder="1"/>
    <xf numFmtId="4" fontId="44" fillId="0" borderId="0" xfId="151" applyNumberFormat="1" applyFont="1"/>
    <xf numFmtId="0" fontId="45" fillId="24" borderId="14" xfId="151" applyFont="1" applyFill="1" applyBorder="1" applyAlignment="1">
      <alignment horizontal="justify" vertical="center"/>
    </xf>
    <xf numFmtId="0" fontId="43" fillId="24" borderId="22" xfId="151" applyFont="1" applyFill="1" applyBorder="1" applyAlignment="1">
      <alignment horizontal="justify" vertical="center"/>
    </xf>
    <xf numFmtId="3" fontId="47" fillId="26" borderId="17" xfId="151" applyNumberFormat="1" applyFont="1" applyFill="1" applyBorder="1" applyAlignment="1">
      <alignment horizontal="right"/>
    </xf>
    <xf numFmtId="4" fontId="12" fillId="0" borderId="0" xfId="0" applyNumberFormat="1" applyFont="1"/>
    <xf numFmtId="4" fontId="48" fillId="0" borderId="0" xfId="206" applyNumberFormat="1" applyFont="1" applyBorder="1" applyAlignment="1" applyProtection="1">
      <alignment horizontal="right"/>
    </xf>
    <xf numFmtId="4" fontId="29" fillId="0" borderId="0" xfId="151" applyNumberFormat="1" applyFont="1" applyBorder="1"/>
    <xf numFmtId="0" fontId="33" fillId="0" borderId="10" xfId="151" applyFont="1" applyBorder="1" applyAlignment="1">
      <alignment horizontal="left"/>
    </xf>
    <xf numFmtId="2" fontId="43" fillId="25" borderId="10" xfId="151" applyNumberFormat="1" applyFont="1" applyFill="1" applyBorder="1" applyAlignment="1">
      <alignment horizontal="right"/>
    </xf>
    <xf numFmtId="1" fontId="43" fillId="0" borderId="10" xfId="151" applyNumberFormat="1" applyFont="1" applyBorder="1" applyAlignment="1">
      <alignment horizontal="right"/>
    </xf>
    <xf numFmtId="1" fontId="46" fillId="0" borderId="0" xfId="151" applyNumberFormat="1" applyFont="1"/>
    <xf numFmtId="10" fontId="43" fillId="0" borderId="0" xfId="151" applyNumberFormat="1" applyFont="1" applyBorder="1" applyAlignment="1">
      <alignment horizontal="center"/>
    </xf>
    <xf numFmtId="3" fontId="43" fillId="0" borderId="0" xfId="151" applyNumberFormat="1" applyFont="1" applyBorder="1" applyAlignment="1">
      <alignment horizontal="center"/>
    </xf>
    <xf numFmtId="0" fontId="33" fillId="0" borderId="0" xfId="151" applyFont="1" applyFill="1" applyBorder="1" applyAlignment="1">
      <alignment horizontal="center"/>
    </xf>
    <xf numFmtId="0" fontId="34" fillId="25" borderId="10" xfId="151" applyFont="1" applyFill="1" applyBorder="1" applyAlignment="1">
      <alignment horizontal="center"/>
    </xf>
    <xf numFmtId="3" fontId="43" fillId="0" borderId="10" xfId="151" applyNumberFormat="1" applyFont="1" applyBorder="1" applyAlignment="1">
      <alignment horizontal="center"/>
    </xf>
    <xf numFmtId="3" fontId="50" fillId="0" borderId="10" xfId="151" applyNumberFormat="1" applyFont="1" applyBorder="1" applyAlignment="1">
      <alignment horizontal="center" vertical="center"/>
    </xf>
    <xf numFmtId="0" fontId="33" fillId="0" borderId="0" xfId="151" applyFont="1" applyFill="1" applyBorder="1" applyAlignment="1">
      <alignment horizontal="center" vertical="center"/>
    </xf>
    <xf numFmtId="10" fontId="43" fillId="0" borderId="0" xfId="151" applyNumberFormat="1" applyFont="1" applyFill="1" applyBorder="1" applyAlignment="1">
      <alignment horizontal="center"/>
    </xf>
    <xf numFmtId="3" fontId="43" fillId="0" borderId="0" xfId="151" applyNumberFormat="1" applyFont="1" applyFill="1" applyBorder="1" applyAlignment="1">
      <alignment horizontal="center"/>
    </xf>
    <xf numFmtId="0" fontId="51" fillId="25" borderId="10" xfId="151" applyFont="1" applyFill="1" applyBorder="1" applyAlignment="1">
      <alignment horizontal="center" vertical="center"/>
    </xf>
    <xf numFmtId="0" fontId="51" fillId="25" borderId="10" xfId="151" applyFont="1" applyFill="1" applyBorder="1" applyAlignment="1">
      <alignment horizontal="center"/>
    </xf>
    <xf numFmtId="1" fontId="50" fillId="0" borderId="10" xfId="151" applyNumberFormat="1" applyFont="1" applyBorder="1" applyAlignment="1">
      <alignment horizontal="center"/>
    </xf>
    <xf numFmtId="3" fontId="2" fillId="0" borderId="10" xfId="151" applyNumberFormat="1" applyFont="1" applyFill="1" applyBorder="1" applyAlignment="1">
      <alignment horizontal="right" wrapText="1"/>
    </xf>
    <xf numFmtId="0" fontId="34" fillId="25" borderId="10" xfId="151" applyFont="1" applyFill="1" applyBorder="1" applyAlignment="1"/>
    <xf numFmtId="0" fontId="33" fillId="0" borderId="10" xfId="151" applyFont="1" applyBorder="1" applyAlignment="1"/>
    <xf numFmtId="0" fontId="29" fillId="0" borderId="0" xfId="151" applyFont="1" applyFill="1" applyBorder="1"/>
    <xf numFmtId="3" fontId="47" fillId="0" borderId="0" xfId="151" applyNumberFormat="1" applyFont="1" applyFill="1" applyBorder="1" applyAlignment="1">
      <alignment horizontal="right"/>
    </xf>
    <xf numFmtId="3" fontId="44" fillId="0" borderId="0" xfId="151" applyNumberFormat="1" applyFont="1" applyFill="1" applyBorder="1"/>
    <xf numFmtId="1" fontId="43" fillId="24" borderId="10" xfId="151" applyNumberFormat="1" applyFont="1" applyFill="1" applyBorder="1" applyAlignment="1">
      <alignment horizontal="right"/>
    </xf>
    <xf numFmtId="2" fontId="43" fillId="0" borderId="10" xfId="151" applyNumberFormat="1" applyFont="1" applyFill="1" applyBorder="1" applyAlignment="1">
      <alignment horizontal="right"/>
    </xf>
    <xf numFmtId="1" fontId="47" fillId="26" borderId="17" xfId="151" applyNumberFormat="1" applyFont="1" applyFill="1" applyBorder="1" applyAlignment="1">
      <alignment horizontal="right"/>
    </xf>
    <xf numFmtId="3" fontId="34" fillId="0" borderId="21" xfId="151" applyNumberFormat="1" applyFont="1" applyFill="1" applyBorder="1" applyAlignment="1">
      <alignment horizontal="right"/>
    </xf>
    <xf numFmtId="3" fontId="34" fillId="24" borderId="21" xfId="151" applyNumberFormat="1" applyFont="1" applyFill="1" applyBorder="1" applyAlignment="1">
      <alignment horizontal="right"/>
    </xf>
    <xf numFmtId="2" fontId="34" fillId="25" borderId="10" xfId="151" applyNumberFormat="1" applyFont="1" applyFill="1" applyBorder="1" applyAlignment="1">
      <alignment horizontal="right" vertical="center"/>
    </xf>
    <xf numFmtId="1" fontId="34" fillId="24" borderId="10" xfId="151" applyNumberFormat="1" applyFont="1" applyFill="1" applyBorder="1" applyAlignment="1">
      <alignment horizontal="right" vertical="center"/>
    </xf>
    <xf numFmtId="3" fontId="34" fillId="24" borderId="21" xfId="151" applyNumberFormat="1" applyFont="1" applyFill="1" applyBorder="1" applyAlignment="1">
      <alignment horizontal="right" vertical="center"/>
    </xf>
    <xf numFmtId="1" fontId="34" fillId="24" borderId="15" xfId="151" applyNumberFormat="1" applyFont="1" applyFill="1" applyBorder="1" applyAlignment="1">
      <alignment horizontal="right" vertical="center"/>
    </xf>
    <xf numFmtId="2" fontId="34" fillId="0" borderId="10" xfId="151" applyNumberFormat="1" applyFont="1" applyFill="1" applyBorder="1" applyAlignment="1">
      <alignment horizontal="right" vertical="center"/>
    </xf>
    <xf numFmtId="2" fontId="34" fillId="27" borderId="10" xfId="151" applyNumberFormat="1" applyFont="1" applyFill="1" applyBorder="1" applyAlignment="1">
      <alignment horizontal="right" vertical="center"/>
    </xf>
    <xf numFmtId="3" fontId="34" fillId="24" borderId="23" xfId="151" applyNumberFormat="1" applyFont="1" applyFill="1" applyBorder="1" applyAlignment="1">
      <alignment horizontal="right" vertical="center"/>
    </xf>
    <xf numFmtId="3" fontId="33" fillId="26" borderId="17" xfId="151" applyNumberFormat="1" applyFont="1" applyFill="1" applyBorder="1" applyAlignment="1">
      <alignment horizontal="right" vertical="center"/>
    </xf>
    <xf numFmtId="1" fontId="33" fillId="26" borderId="17" xfId="151" applyNumberFormat="1" applyFont="1" applyFill="1" applyBorder="1" applyAlignment="1">
      <alignment horizontal="right" vertical="center"/>
    </xf>
    <xf numFmtId="1" fontId="33" fillId="26" borderId="18" xfId="151" applyNumberFormat="1" applyFont="1" applyFill="1" applyBorder="1" applyAlignment="1">
      <alignment horizontal="right" vertical="center"/>
    </xf>
    <xf numFmtId="10" fontId="34" fillId="0" borderId="10" xfId="40" applyNumberFormat="1" applyFont="1" applyBorder="1" applyAlignment="1">
      <alignment horizontal="center"/>
    </xf>
    <xf numFmtId="10" fontId="34" fillId="0" borderId="15" xfId="40" applyNumberFormat="1" applyFont="1" applyBorder="1" applyAlignment="1">
      <alignment horizontal="center"/>
    </xf>
    <xf numFmtId="10" fontId="34" fillId="0" borderId="17" xfId="40" applyNumberFormat="1" applyFont="1" applyBorder="1" applyAlignment="1">
      <alignment horizontal="center"/>
    </xf>
    <xf numFmtId="0" fontId="49" fillId="24" borderId="0" xfId="204" applyFont="1" applyFill="1" applyBorder="1" applyAlignment="1">
      <alignment horizontal="left"/>
    </xf>
    <xf numFmtId="0" fontId="49" fillId="0" borderId="0" xfId="204" applyFont="1" applyBorder="1" applyAlignment="1">
      <alignment horizontal="left"/>
    </xf>
    <xf numFmtId="10" fontId="43" fillId="0" borderId="10" xfId="151" applyNumberFormat="1" applyFont="1" applyBorder="1" applyAlignment="1">
      <alignment horizontal="center"/>
    </xf>
    <xf numFmtId="0" fontId="33" fillId="25" borderId="10" xfId="151" applyFont="1" applyFill="1" applyBorder="1" applyAlignment="1">
      <alignment horizontal="center"/>
    </xf>
    <xf numFmtId="3" fontId="34" fillId="24" borderId="23" xfId="151" applyNumberFormat="1" applyFont="1" applyFill="1" applyBorder="1" applyAlignment="1">
      <alignment horizontal="right"/>
    </xf>
    <xf numFmtId="0" fontId="53" fillId="0" borderId="0" xfId="204" applyFont="1" applyFill="1" applyBorder="1" applyAlignment="1">
      <alignment horizontal="left" vertical="center" indent="1"/>
    </xf>
    <xf numFmtId="3" fontId="53" fillId="0" borderId="0" xfId="206" applyNumberFormat="1" applyFont="1" applyFill="1" applyBorder="1" applyAlignment="1" applyProtection="1">
      <alignment horizontal="right" vertical="center"/>
    </xf>
    <xf numFmtId="3" fontId="27" fillId="0" borderId="0" xfId="151" applyNumberFormat="1" applyFont="1" applyFill="1" applyBorder="1"/>
    <xf numFmtId="0" fontId="27" fillId="0" borderId="0" xfId="151" applyFont="1" applyFill="1" applyBorder="1"/>
    <xf numFmtId="3" fontId="29" fillId="0" borderId="0" xfId="151" applyNumberFormat="1" applyFont="1" applyFill="1" applyBorder="1"/>
    <xf numFmtId="10" fontId="34" fillId="0" borderId="0" xfId="151" applyNumberFormat="1" applyFont="1" applyFill="1" applyBorder="1" applyAlignment="1">
      <alignment horizontal="center"/>
    </xf>
    <xf numFmtId="3" fontId="54" fillId="0" borderId="0" xfId="206" applyNumberFormat="1" applyFont="1" applyFill="1" applyBorder="1" applyAlignment="1" applyProtection="1">
      <alignment horizontal="right" vertical="center"/>
    </xf>
    <xf numFmtId="3" fontId="2" fillId="0" borderId="0" xfId="0" applyNumberFormat="1" applyFont="1" applyBorder="1"/>
    <xf numFmtId="0" fontId="55" fillId="0" borderId="0" xfId="151" applyFont="1" applyBorder="1"/>
    <xf numFmtId="3" fontId="33" fillId="26" borderId="17" xfId="151" applyNumberFormat="1" applyFont="1" applyFill="1" applyBorder="1" applyAlignment="1">
      <alignment horizontal="right"/>
    </xf>
    <xf numFmtId="3" fontId="50" fillId="0" borderId="10" xfId="151" applyNumberFormat="1" applyFont="1" applyFill="1" applyBorder="1" applyAlignment="1">
      <alignment horizontal="right" wrapText="1"/>
    </xf>
    <xf numFmtId="3" fontId="50" fillId="0" borderId="0" xfId="0" applyNumberFormat="1" applyFont="1" applyBorder="1"/>
    <xf numFmtId="3" fontId="56" fillId="0" borderId="0" xfId="151" applyNumberFormat="1" applyFont="1" applyFill="1" applyBorder="1"/>
    <xf numFmtId="0" fontId="56" fillId="0" borderId="0" xfId="151" applyFont="1" applyFill="1" applyBorder="1"/>
    <xf numFmtId="0" fontId="34" fillId="24" borderId="14" xfId="151" applyFont="1" applyFill="1" applyBorder="1" applyAlignment="1">
      <alignment horizontal="left"/>
    </xf>
    <xf numFmtId="0" fontId="34" fillId="24" borderId="22" xfId="151" applyFont="1" applyFill="1" applyBorder="1" applyAlignment="1">
      <alignment horizontal="left"/>
    </xf>
    <xf numFmtId="0" fontId="34" fillId="24" borderId="14" xfId="151" applyFont="1" applyFill="1" applyBorder="1" applyAlignment="1">
      <alignment horizontal="justify" vertical="center"/>
    </xf>
    <xf numFmtId="0" fontId="57" fillId="0" borderId="0" xfId="217" applyFont="1"/>
    <xf numFmtId="0" fontId="43" fillId="0" borderId="0" xfId="217" applyFont="1"/>
    <xf numFmtId="0" fontId="58" fillId="0" borderId="0" xfId="204" applyFont="1" applyFill="1" applyBorder="1" applyAlignment="1">
      <alignment horizontal="left"/>
    </xf>
    <xf numFmtId="0" fontId="37" fillId="0" borderId="0" xfId="151" applyFont="1"/>
    <xf numFmtId="2" fontId="29" fillId="0" borderId="0" xfId="151" applyNumberFormat="1" applyFont="1"/>
    <xf numFmtId="10" fontId="34" fillId="0" borderId="18" xfId="40" applyNumberFormat="1" applyFont="1" applyBorder="1" applyAlignment="1">
      <alignment horizontal="center"/>
    </xf>
    <xf numFmtId="0" fontId="52" fillId="0" borderId="19" xfId="40" applyFont="1" applyBorder="1" applyAlignment="1">
      <alignment horizontal="center"/>
    </xf>
    <xf numFmtId="0" fontId="52" fillId="0" borderId="20" xfId="40" applyFont="1" applyBorder="1" applyAlignment="1">
      <alignment horizontal="center"/>
    </xf>
    <xf numFmtId="0" fontId="52" fillId="0" borderId="21" xfId="40" applyFont="1" applyBorder="1" applyAlignment="1">
      <alignment horizontal="center"/>
    </xf>
    <xf numFmtId="10" fontId="43" fillId="0" borderId="10" xfId="151" applyNumberFormat="1" applyFont="1" applyBorder="1" applyAlignment="1">
      <alignment horizontal="center"/>
    </xf>
    <xf numFmtId="3" fontId="3" fillId="0" borderId="10" xfId="151" applyNumberFormat="1" applyFont="1" applyBorder="1" applyAlignment="1">
      <alignment horizontal="center" vertical="center"/>
    </xf>
    <xf numFmtId="0" fontId="28" fillId="0" borderId="19" xfId="151" applyFont="1" applyBorder="1" applyAlignment="1">
      <alignment horizontal="center"/>
    </xf>
    <xf numFmtId="0" fontId="28" fillId="0" borderId="20" xfId="151" applyFont="1" applyBorder="1" applyAlignment="1">
      <alignment horizontal="center"/>
    </xf>
    <xf numFmtId="0" fontId="28" fillId="0" borderId="21" xfId="151" applyFont="1" applyBorder="1" applyAlignment="1">
      <alignment horizontal="center"/>
    </xf>
    <xf numFmtId="0" fontId="35" fillId="25" borderId="12" xfId="151" applyFont="1" applyFill="1" applyBorder="1" applyAlignment="1">
      <alignment horizontal="center" vertical="center"/>
    </xf>
    <xf numFmtId="0" fontId="35" fillId="25" borderId="13" xfId="151" applyFont="1" applyFill="1" applyBorder="1" applyAlignment="1">
      <alignment horizontal="center" vertical="center"/>
    </xf>
    <xf numFmtId="0" fontId="35" fillId="25" borderId="11" xfId="151" applyFont="1" applyFill="1" applyBorder="1" applyAlignment="1">
      <alignment horizontal="center" vertical="center" wrapText="1"/>
    </xf>
    <xf numFmtId="0" fontId="35" fillId="25" borderId="14" xfId="151" applyFont="1" applyFill="1" applyBorder="1" applyAlignment="1">
      <alignment horizontal="center" vertical="center" wrapText="1"/>
    </xf>
    <xf numFmtId="0" fontId="33" fillId="25" borderId="10" xfId="151" applyFont="1" applyFill="1" applyBorder="1" applyAlignment="1">
      <alignment horizontal="center"/>
    </xf>
    <xf numFmtId="3" fontId="43" fillId="0" borderId="10" xfId="151" applyNumberFormat="1" applyFont="1" applyBorder="1" applyAlignment="1">
      <alignment horizontal="center"/>
    </xf>
    <xf numFmtId="0" fontId="30" fillId="0" borderId="19" xfId="151" applyFont="1" applyBorder="1" applyAlignment="1">
      <alignment horizontal="center"/>
    </xf>
    <xf numFmtId="0" fontId="30" fillId="0" borderId="20" xfId="151" applyFont="1" applyBorder="1" applyAlignment="1">
      <alignment horizontal="center"/>
    </xf>
    <xf numFmtId="0" fontId="30" fillId="0" borderId="21" xfId="151" applyFont="1" applyBorder="1" applyAlignment="1">
      <alignment horizontal="center"/>
    </xf>
    <xf numFmtId="0" fontId="51" fillId="25" borderId="10" xfId="151" applyFont="1" applyFill="1" applyBorder="1" applyAlignment="1">
      <alignment horizontal="center" vertical="center"/>
    </xf>
    <xf numFmtId="0" fontId="51" fillId="25" borderId="10" xfId="151" applyFont="1" applyFill="1" applyBorder="1" applyAlignment="1">
      <alignment horizontal="center"/>
    </xf>
  </cellXfs>
  <cellStyles count="218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28"/>
    <cellStyle name="Euro" xfId="29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Input" xfId="36" builtinId="20" customBuiltin="1"/>
    <cellStyle name="Linked Cell" xfId="37" builtinId="24" customBuiltin="1"/>
    <cellStyle name="MAND_x000d_CHECK.COMMAND_x000e_RENAME.COMMAND_x0008_SHOW.BAR_x000b_DELETE.MENU_x000e_DELETE.COMMAND_x000e_GET.CHA" xfId="38"/>
    <cellStyle name="Neutral" xfId="39" builtinId="28" customBuiltin="1"/>
    <cellStyle name="Normal" xfId="0" builtinId="0"/>
    <cellStyle name="Normal 10" xfId="40"/>
    <cellStyle name="Normal 100" xfId="41"/>
    <cellStyle name="Normal 101" xfId="42"/>
    <cellStyle name="Normal 102" xfId="43"/>
    <cellStyle name="Normal 103" xfId="44"/>
    <cellStyle name="Normal 104" xfId="45"/>
    <cellStyle name="Normal 105" xfId="46"/>
    <cellStyle name="Normal 106" xfId="47"/>
    <cellStyle name="Normal 107" xfId="48"/>
    <cellStyle name="Normal 108" xfId="49"/>
    <cellStyle name="Normal 109" xfId="50"/>
    <cellStyle name="Normal 11" xfId="51"/>
    <cellStyle name="Normal 110" xfId="52"/>
    <cellStyle name="Normal 111" xfId="53"/>
    <cellStyle name="Normal 112" xfId="54"/>
    <cellStyle name="Normal 113" xfId="55"/>
    <cellStyle name="Normal 114" xfId="56"/>
    <cellStyle name="Normal 115" xfId="57"/>
    <cellStyle name="Normal 116" xfId="58"/>
    <cellStyle name="Normal 117" xfId="59"/>
    <cellStyle name="Normal 118" xfId="60"/>
    <cellStyle name="Normal 119" xfId="61"/>
    <cellStyle name="Normal 12" xfId="62"/>
    <cellStyle name="Normal 120" xfId="63"/>
    <cellStyle name="Normal 121" xfId="64"/>
    <cellStyle name="Normal 122" xfId="65"/>
    <cellStyle name="Normal 123" xfId="66"/>
    <cellStyle name="Normal 124" xfId="67"/>
    <cellStyle name="Normal 125" xfId="68"/>
    <cellStyle name="Normal 126" xfId="69"/>
    <cellStyle name="Normal 127" xfId="70"/>
    <cellStyle name="Normal 128" xfId="71"/>
    <cellStyle name="Normal 129" xfId="72"/>
    <cellStyle name="Normal 13" xfId="73"/>
    <cellStyle name="Normal 130" xfId="74"/>
    <cellStyle name="Normal 131" xfId="75"/>
    <cellStyle name="Normal 132" xfId="76"/>
    <cellStyle name="Normal 133" xfId="77"/>
    <cellStyle name="Normal 134" xfId="78"/>
    <cellStyle name="Normal 135" xfId="79"/>
    <cellStyle name="Normal 136" xfId="80"/>
    <cellStyle name="Normal 137" xfId="81"/>
    <cellStyle name="Normal 138" xfId="82"/>
    <cellStyle name="Normal 139" xfId="83"/>
    <cellStyle name="Normal 14" xfId="84"/>
    <cellStyle name="Normal 140" xfId="85"/>
    <cellStyle name="Normal 141" xfId="86"/>
    <cellStyle name="Normal 142" xfId="87"/>
    <cellStyle name="Normal 143" xfId="88"/>
    <cellStyle name="Normal 144" xfId="89"/>
    <cellStyle name="Normal 145" xfId="90"/>
    <cellStyle name="Normal 146" xfId="91"/>
    <cellStyle name="Normal 147" xfId="92"/>
    <cellStyle name="Normal 148" xfId="93"/>
    <cellStyle name="Normal 149" xfId="94"/>
    <cellStyle name="Normal 15" xfId="95"/>
    <cellStyle name="Normal 150" xfId="96"/>
    <cellStyle name="Normal 151" xfId="97"/>
    <cellStyle name="Normal 152" xfId="205"/>
    <cellStyle name="Normal 153" xfId="98"/>
    <cellStyle name="Normal 154" xfId="99"/>
    <cellStyle name="Normal 155" xfId="100"/>
    <cellStyle name="Normal 156" xfId="101"/>
    <cellStyle name="Normal 157" xfId="102"/>
    <cellStyle name="Normal 158" xfId="103"/>
    <cellStyle name="Normal 159" xfId="104"/>
    <cellStyle name="Normal 16" xfId="105"/>
    <cellStyle name="Normal 160" xfId="212"/>
    <cellStyle name="Normal 17" xfId="106"/>
    <cellStyle name="Normal 18" xfId="107"/>
    <cellStyle name="Normal 19" xfId="108"/>
    <cellStyle name="Normal 2" xfId="109"/>
    <cellStyle name="Normal 20" xfId="110"/>
    <cellStyle name="Normal 21" xfId="111"/>
    <cellStyle name="Normal 22" xfId="112"/>
    <cellStyle name="Normal 23" xfId="113"/>
    <cellStyle name="Normal 24" xfId="114"/>
    <cellStyle name="Normal 25" xfId="115"/>
    <cellStyle name="Normal 26" xfId="116"/>
    <cellStyle name="Normal 27" xfId="117"/>
    <cellStyle name="Normal 28" xfId="118"/>
    <cellStyle name="Normal 29" xfId="119"/>
    <cellStyle name="Normal 3" xfId="120"/>
    <cellStyle name="Normal 30" xfId="121"/>
    <cellStyle name="Normal 31" xfId="122"/>
    <cellStyle name="Normal 32" xfId="123"/>
    <cellStyle name="Normal 33" xfId="124"/>
    <cellStyle name="Normal 34" xfId="125"/>
    <cellStyle name="Normal 35" xfId="126"/>
    <cellStyle name="Normal 36" xfId="127"/>
    <cellStyle name="Normal 37" xfId="128"/>
    <cellStyle name="Normal 38" xfId="129"/>
    <cellStyle name="Normal 39" xfId="130"/>
    <cellStyle name="Normal 4" xfId="131"/>
    <cellStyle name="Normal 40" xfId="132"/>
    <cellStyle name="Normal 41" xfId="133"/>
    <cellStyle name="Normal 42" xfId="134"/>
    <cellStyle name="Normal 43" xfId="135"/>
    <cellStyle name="Normal 44" xfId="136"/>
    <cellStyle name="Normal 45" xfId="137"/>
    <cellStyle name="Normal 46" xfId="138"/>
    <cellStyle name="Normal 47" xfId="139"/>
    <cellStyle name="Normal 48" xfId="140"/>
    <cellStyle name="Normal 49" xfId="141"/>
    <cellStyle name="Normal 5" xfId="142"/>
    <cellStyle name="Normal 50" xfId="143"/>
    <cellStyle name="Normal 51" xfId="144"/>
    <cellStyle name="Normal 52" xfId="145"/>
    <cellStyle name="Normal 53" xfId="146"/>
    <cellStyle name="Normal 54" xfId="147"/>
    <cellStyle name="Normal 55" xfId="148"/>
    <cellStyle name="Normal 56" xfId="149"/>
    <cellStyle name="Normal 57" xfId="150"/>
    <cellStyle name="Normal 58" xfId="151"/>
    <cellStyle name="Normal 59" xfId="152"/>
    <cellStyle name="Normal 6" xfId="153"/>
    <cellStyle name="Normal 60" xfId="154"/>
    <cellStyle name="Normal 61" xfId="155"/>
    <cellStyle name="Normal 62" xfId="156"/>
    <cellStyle name="Normal 63" xfId="157"/>
    <cellStyle name="Normal 64" xfId="158"/>
    <cellStyle name="Normal 65" xfId="159"/>
    <cellStyle name="Normal 66" xfId="160"/>
    <cellStyle name="Normal 67" xfId="161"/>
    <cellStyle name="Normal 68" xfId="162"/>
    <cellStyle name="Normal 69" xfId="163"/>
    <cellStyle name="Normal 7" xfId="164"/>
    <cellStyle name="Normal 70" xfId="165"/>
    <cellStyle name="Normal 71" xfId="166"/>
    <cellStyle name="Normal 72" xfId="167"/>
    <cellStyle name="Normal 73" xfId="168"/>
    <cellStyle name="Normal 74" xfId="169"/>
    <cellStyle name="Normal 75" xfId="170"/>
    <cellStyle name="Normal 76" xfId="171"/>
    <cellStyle name="Normal 77" xfId="172"/>
    <cellStyle name="Normal 78" xfId="173"/>
    <cellStyle name="Normal 79" xfId="174"/>
    <cellStyle name="Normal 8" xfId="175"/>
    <cellStyle name="Normal 80" xfId="176"/>
    <cellStyle name="Normal 81" xfId="177"/>
    <cellStyle name="Normal 82" xfId="178"/>
    <cellStyle name="Normal 83" xfId="179"/>
    <cellStyle name="Normal 84" xfId="180"/>
    <cellStyle name="Normal 85" xfId="181"/>
    <cellStyle name="Normal 86" xfId="182"/>
    <cellStyle name="Normal 87" xfId="183"/>
    <cellStyle name="Normal 88" xfId="184"/>
    <cellStyle name="Normal 89" xfId="185"/>
    <cellStyle name="Normal 9" xfId="186"/>
    <cellStyle name="Normal 90" xfId="187"/>
    <cellStyle name="Normal 91" xfId="188"/>
    <cellStyle name="Normal 92" xfId="189"/>
    <cellStyle name="Normal 93" xfId="190"/>
    <cellStyle name="Normal 94" xfId="191"/>
    <cellStyle name="Normal 95" xfId="192"/>
    <cellStyle name="Normal 96" xfId="193"/>
    <cellStyle name="Normal 97" xfId="194"/>
    <cellStyle name="Normal 98" xfId="195"/>
    <cellStyle name="Normal 99" xfId="196"/>
    <cellStyle name="Normal_Pokazatelji poslovanja drustava u FBiH i RS" xfId="217"/>
    <cellStyle name="normální_Rezervy_prez_1_12_03" xfId="197"/>
    <cellStyle name="Normalno 2" xfId="206"/>
    <cellStyle name="Normalno 2 2" xfId="215"/>
    <cellStyle name="Normalno 3" xfId="207"/>
    <cellStyle name="Note" xfId="198" builtinId="10" customBuiltin="1"/>
    <cellStyle name="Obično 2" xfId="204"/>
    <cellStyle name="Obično 2 2" xfId="208"/>
    <cellStyle name="Obično 3" xfId="209"/>
    <cellStyle name="Obično 3 2" xfId="213"/>
    <cellStyle name="Obično 4" xfId="210"/>
    <cellStyle name="Obično 4 2" xfId="216"/>
    <cellStyle name="Obično_12a Izvjestaji drustava za osiguranje" xfId="211"/>
    <cellStyle name="Output" xfId="199" builtinId="21" customBuiltin="1"/>
    <cellStyle name="Percent 2" xfId="214"/>
    <cellStyle name="Standard_0103_s Versicherung" xfId="200"/>
    <cellStyle name="Title" xfId="201" builtinId="15" customBuiltin="1"/>
    <cellStyle name="Total" xfId="202" builtinId="25" customBuiltin="1"/>
    <cellStyle name="Warning Text" xfId="203" builtinId="11" customBuiltin="1"/>
  </cellStyles>
  <dxfs count="0"/>
  <tableStyles count="0" defaultTableStyle="TableStyleMedium9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bs-Latn-B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9787372193893133E-2"/>
          <c:y val="1.7605633802816902E-2"/>
          <c:w val="0.6164330297342524"/>
          <c:h val="0.86619718309860005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Udio!$B$5</c:f>
              <c:strCache>
                <c:ptCount val="1"/>
                <c:pt idx="0">
                  <c:v>Prvih pet osiguravatelja</c:v>
                </c:pt>
              </c:strCache>
            </c:strRef>
          </c:tx>
          <c:invertIfNegative val="0"/>
          <c:cat>
            <c:strRef>
              <c:f>Udio!$C$4:$D$4</c:f>
              <c:strCache>
                <c:ptCount val="2"/>
                <c:pt idx="0">
                  <c:v>III K 2015.*</c:v>
                </c:pt>
                <c:pt idx="1">
                  <c:v>III K 2016.**</c:v>
                </c:pt>
              </c:strCache>
            </c:strRef>
          </c:cat>
          <c:val>
            <c:numRef>
              <c:f>Udio!$C$5:$D$5</c:f>
              <c:numCache>
                <c:formatCode>0.00%</c:formatCode>
                <c:ptCount val="2"/>
                <c:pt idx="0">
                  <c:v>0.42480073822720299</c:v>
                </c:pt>
                <c:pt idx="1">
                  <c:v>0.41840676606468302</c:v>
                </c:pt>
              </c:numCache>
            </c:numRef>
          </c:val>
        </c:ser>
        <c:ser>
          <c:idx val="1"/>
          <c:order val="1"/>
          <c:tx>
            <c:strRef>
              <c:f>Udio!$B$6</c:f>
              <c:strCache>
                <c:ptCount val="1"/>
                <c:pt idx="0">
                  <c:v>Prvih deset osiguravatelja</c:v>
                </c:pt>
              </c:strCache>
            </c:strRef>
          </c:tx>
          <c:invertIfNegative val="0"/>
          <c:cat>
            <c:strRef>
              <c:f>Udio!$C$4:$D$4</c:f>
              <c:strCache>
                <c:ptCount val="2"/>
                <c:pt idx="0">
                  <c:v>III K 2015.*</c:v>
                </c:pt>
                <c:pt idx="1">
                  <c:v>III K 2016.**</c:v>
                </c:pt>
              </c:strCache>
            </c:strRef>
          </c:cat>
          <c:val>
            <c:numRef>
              <c:f>Udio!$C$6:$D$6</c:f>
              <c:numCache>
                <c:formatCode>0.00%</c:formatCode>
                <c:ptCount val="2"/>
                <c:pt idx="0">
                  <c:v>0.68243498765638133</c:v>
                </c:pt>
                <c:pt idx="1">
                  <c:v>0.66857981741310779</c:v>
                </c:pt>
              </c:numCache>
            </c:numRef>
          </c:val>
        </c:ser>
        <c:ser>
          <c:idx val="2"/>
          <c:order val="2"/>
          <c:tx>
            <c:strRef>
              <c:f>Udio!$B$7</c:f>
              <c:strCache>
                <c:ptCount val="1"/>
                <c:pt idx="0">
                  <c:v>Dominantno društvo</c:v>
                </c:pt>
              </c:strCache>
            </c:strRef>
          </c:tx>
          <c:invertIfNegative val="0"/>
          <c:cat>
            <c:strRef>
              <c:f>Udio!$C$4:$D$4</c:f>
              <c:strCache>
                <c:ptCount val="2"/>
                <c:pt idx="0">
                  <c:v>III K 2015.*</c:v>
                </c:pt>
                <c:pt idx="1">
                  <c:v>III K 2016.**</c:v>
                </c:pt>
              </c:strCache>
            </c:strRef>
          </c:cat>
          <c:val>
            <c:numRef>
              <c:f>Udio!$C$7:$D$7</c:f>
              <c:numCache>
                <c:formatCode>0.00%</c:formatCode>
                <c:ptCount val="2"/>
                <c:pt idx="0">
                  <c:v>0.10331299102612616</c:v>
                </c:pt>
                <c:pt idx="1">
                  <c:v>9.0133723088878626E-2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92209152"/>
        <c:axId val="92247936"/>
        <c:axId val="0"/>
      </c:bar3DChart>
      <c:catAx>
        <c:axId val="92209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92247936"/>
        <c:crosses val="autoZero"/>
        <c:auto val="1"/>
        <c:lblAlgn val="ctr"/>
        <c:lblOffset val="100"/>
        <c:noMultiLvlLbl val="0"/>
      </c:catAx>
      <c:valAx>
        <c:axId val="92247936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9220915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478309601265199"/>
          <c:y val="0.14436612896024614"/>
          <c:w val="0.2898026654444375"/>
          <c:h val="0.60798122065728222"/>
        </c:manualLayout>
      </c:layout>
      <c:overlay val="0"/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>
          <a:latin typeface="Arial" pitchFamily="34" charset="0"/>
          <a:cs typeface="Arial" pitchFamily="34" charset="0"/>
        </a:defRPr>
      </a:pPr>
      <a:endParaRPr lang="sr-Latn-RS"/>
    </a:p>
  </c:txPr>
  <c:printSettings>
    <c:headerFooter alignWithMargins="0"/>
    <c:pageMargins b="0.75000000000000699" l="0.70000000000000062" r="0.70000000000000062" t="0.7500000000000069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bs-Latn-B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515893391720517"/>
          <c:y val="6.7415976913539524E-2"/>
          <c:w val="0.74801732239219565"/>
          <c:h val="0.670414437084644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'HHI - Životno'!$B$20</c:f>
              <c:strCache>
                <c:ptCount val="1"/>
                <c:pt idx="0">
                  <c:v>Tržišni udio prva četiri društva</c:v>
                </c:pt>
              </c:strCache>
            </c:strRef>
          </c:tx>
          <c:invertIfNegative val="0"/>
          <c:dLbls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sr-Latn-R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'HHI - Životno'!$C$19:$E$19</c:f>
              <c:strCache>
                <c:ptCount val="2"/>
                <c:pt idx="0">
                  <c:v>III K 2015.*</c:v>
                </c:pt>
                <c:pt idx="1">
                  <c:v>III K 2016.**</c:v>
                </c:pt>
              </c:strCache>
            </c:strRef>
          </c:cat>
          <c:val>
            <c:numRef>
              <c:f>'HHI - Životno'!$C$20:$D$20</c:f>
              <c:numCache>
                <c:formatCode>0.00%</c:formatCode>
                <c:ptCount val="2"/>
                <c:pt idx="0">
                  <c:v>0.7751597713109839</c:v>
                </c:pt>
                <c:pt idx="1">
                  <c:v>0.76885330952134046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1226368"/>
        <c:axId val="61244544"/>
      </c:barChart>
      <c:lineChart>
        <c:grouping val="standard"/>
        <c:varyColors val="0"/>
        <c:ser>
          <c:idx val="1"/>
          <c:order val="1"/>
          <c:tx>
            <c:strRef>
              <c:f>'HHI - Životno'!$B$21</c:f>
              <c:strCache>
                <c:ptCount val="1"/>
                <c:pt idx="0">
                  <c:v>HHI</c:v>
                </c:pt>
              </c:strCache>
            </c:strRef>
          </c:tx>
          <c:marker>
            <c:symbol val="square"/>
            <c:size val="5"/>
          </c:marker>
          <c:dLbls>
            <c:dLbl>
              <c:idx val="0"/>
              <c:layout>
                <c:manualLayout>
                  <c:x val="-5.4075220820677034E-2"/>
                  <c:y val="-7.01897096758521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6.0523648207398431E-2"/>
                  <c:y val="-6.935188065275309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4.9114898136481594E-2"/>
                  <c:y val="-5.68478200890029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2.1833101436552652E-2"/>
                  <c:y val="-6.004026844778680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'HHI - Životno'!$C$19:$E$19</c:f>
              <c:strCache>
                <c:ptCount val="2"/>
                <c:pt idx="0">
                  <c:v>III K 2015.*</c:v>
                </c:pt>
                <c:pt idx="1">
                  <c:v>III K 2016.**</c:v>
                </c:pt>
              </c:strCache>
            </c:strRef>
          </c:cat>
          <c:val>
            <c:numRef>
              <c:f>'HHI - Životno'!$C$21:$D$21</c:f>
              <c:numCache>
                <c:formatCode>#,##0</c:formatCode>
                <c:ptCount val="2"/>
                <c:pt idx="0">
                  <c:v>1717.4265389099689</c:v>
                </c:pt>
                <c:pt idx="1">
                  <c:v>1702.4758321782019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246080"/>
        <c:axId val="61272448"/>
      </c:lineChart>
      <c:catAx>
        <c:axId val="61226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61244544"/>
        <c:crosses val="autoZero"/>
        <c:auto val="1"/>
        <c:lblAlgn val="ctr"/>
        <c:lblOffset val="100"/>
        <c:noMultiLvlLbl val="0"/>
      </c:catAx>
      <c:valAx>
        <c:axId val="61244544"/>
        <c:scaling>
          <c:orientation val="minMax"/>
          <c:max val="0.85000000000000109"/>
          <c:min val="0.75000000000000111"/>
        </c:scaling>
        <c:delete val="0"/>
        <c:axPos val="l"/>
        <c:majorGridlines>
          <c:spPr>
            <a:ln>
              <a:solidFill>
                <a:sysClr val="window" lastClr="FFFFFF"/>
              </a:solidFill>
            </a:ln>
          </c:spPr>
        </c:majorGridlines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61226368"/>
        <c:crosses val="autoZero"/>
        <c:crossBetween val="between"/>
      </c:valAx>
      <c:catAx>
        <c:axId val="6124608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61272448"/>
        <c:crosses val="autoZero"/>
        <c:auto val="1"/>
        <c:lblAlgn val="ctr"/>
        <c:lblOffset val="100"/>
        <c:noMultiLvlLbl val="0"/>
      </c:catAx>
      <c:valAx>
        <c:axId val="61272448"/>
        <c:scaling>
          <c:orientation val="minMax"/>
          <c:max val="1850"/>
          <c:min val="1600"/>
        </c:scaling>
        <c:delete val="0"/>
        <c:axPos val="r"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61246080"/>
        <c:crosses val="max"/>
        <c:crossBetween val="between"/>
      </c:valAx>
    </c:plotArea>
    <c:legend>
      <c:legendPos val="b"/>
      <c:layout>
        <c:manualLayout>
          <c:xMode val="edge"/>
          <c:yMode val="edge"/>
          <c:x val="3.5714354915277226E-2"/>
          <c:y val="0.89887969218053343"/>
          <c:w val="0.88889061122468505"/>
          <c:h val="6.7415976913539524E-2"/>
        </c:manualLayout>
      </c:layout>
      <c:overlay val="0"/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>
          <a:latin typeface="Arial" pitchFamily="34" charset="0"/>
          <a:cs typeface="Arial" pitchFamily="34" charset="0"/>
        </a:defRPr>
      </a:pPr>
      <a:endParaRPr lang="sr-Latn-RS"/>
    </a:p>
  </c:txPr>
  <c:printSettings>
    <c:headerFooter alignWithMargins="0"/>
    <c:pageMargins b="0.75000000000000988" l="0.70000000000000062" r="0.70000000000000062" t="0.7500000000000098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bs-Latn-B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9437148217636745E-2"/>
          <c:y val="6.0000195313135794E-2"/>
          <c:w val="0.75984990619138226"/>
          <c:h val="0.6866689019169984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'HHI - Neživotno'!$B$37</c:f>
              <c:strCache>
                <c:ptCount val="1"/>
                <c:pt idx="0">
                  <c:v>Tržišni udio prva četiri društva</c:v>
                </c:pt>
              </c:strCache>
            </c:strRef>
          </c:tx>
          <c:invertIfNegative val="0"/>
          <c:dLbls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sr-Latn-R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'HHI - Neživotno'!$C$36:$D$36</c:f>
              <c:strCache>
                <c:ptCount val="2"/>
                <c:pt idx="0">
                  <c:v>III K 2015.*</c:v>
                </c:pt>
                <c:pt idx="1">
                  <c:v>III K 2016.**</c:v>
                </c:pt>
              </c:strCache>
            </c:strRef>
          </c:cat>
          <c:val>
            <c:numRef>
              <c:f>'HHI - Neživotno'!$C$37:$D$37</c:f>
              <c:numCache>
                <c:formatCode>0.00%</c:formatCode>
                <c:ptCount val="2"/>
                <c:pt idx="0">
                  <c:v>0.39416054278842422</c:v>
                </c:pt>
                <c:pt idx="1">
                  <c:v>0.37831474291256334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6188672"/>
        <c:axId val="76206848"/>
      </c:barChart>
      <c:lineChart>
        <c:grouping val="stacked"/>
        <c:varyColors val="0"/>
        <c:ser>
          <c:idx val="1"/>
          <c:order val="1"/>
          <c:tx>
            <c:strRef>
              <c:f>'HHI - Neživotno'!$B$38</c:f>
              <c:strCache>
                <c:ptCount val="1"/>
                <c:pt idx="0">
                  <c:v>HHI</c:v>
                </c:pt>
              </c:strCache>
            </c:strRef>
          </c:tx>
          <c:marker>
            <c:symbol val="square"/>
            <c:size val="5"/>
          </c:marker>
          <c:dLbls>
            <c:dLbl>
              <c:idx val="0"/>
              <c:layout>
                <c:manualLayout>
                  <c:x val="-3.7061746268583252E-2"/>
                  <c:y val="-4.407805656150506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3.7530740177178175E-2"/>
                  <c:y val="-4.738444599607038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3.7999931059274718E-2"/>
                  <c:y val="-4.167009710637039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4.2221270183628541E-2"/>
                  <c:y val="-4.207133143754280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'HHI - Neživotno'!$C$36:$D$36</c:f>
              <c:strCache>
                <c:ptCount val="2"/>
                <c:pt idx="0">
                  <c:v>III K 2015.*</c:v>
                </c:pt>
                <c:pt idx="1">
                  <c:v>III K 2016.**</c:v>
                </c:pt>
              </c:strCache>
            </c:strRef>
          </c:cat>
          <c:val>
            <c:numRef>
              <c:f>'HHI - Neživotno'!$C$38:$D$38</c:f>
              <c:numCache>
                <c:formatCode>#,##0</c:formatCode>
                <c:ptCount val="2"/>
                <c:pt idx="0">
                  <c:v>650.66697227972929</c:v>
                </c:pt>
                <c:pt idx="1">
                  <c:v>609.09444795087791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208384"/>
        <c:axId val="76214272"/>
      </c:lineChart>
      <c:catAx>
        <c:axId val="76188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76206848"/>
        <c:crossesAt val="0.35000000000000031"/>
        <c:auto val="1"/>
        <c:lblAlgn val="ctr"/>
        <c:lblOffset val="100"/>
        <c:noMultiLvlLbl val="0"/>
      </c:catAx>
      <c:valAx>
        <c:axId val="76206848"/>
        <c:scaling>
          <c:orientation val="minMax"/>
          <c:max val="0.45"/>
          <c:min val="0.35000000000000003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76188672"/>
        <c:crosses val="autoZero"/>
        <c:crossBetween val="between"/>
      </c:valAx>
      <c:catAx>
        <c:axId val="762083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76214272"/>
        <c:crosses val="autoZero"/>
        <c:auto val="1"/>
        <c:lblAlgn val="ctr"/>
        <c:lblOffset val="100"/>
        <c:noMultiLvlLbl val="0"/>
      </c:catAx>
      <c:valAx>
        <c:axId val="76214272"/>
        <c:scaling>
          <c:orientation val="minMax"/>
          <c:max val="750"/>
          <c:min val="450"/>
        </c:scaling>
        <c:delete val="0"/>
        <c:axPos val="r"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76208384"/>
        <c:crosses val="max"/>
        <c:crossBetween val="between"/>
        <c:majorUnit val="50"/>
        <c:minorUnit val="10"/>
      </c:valAx>
    </c:plotArea>
    <c:legend>
      <c:legendPos val="b"/>
      <c:layout>
        <c:manualLayout>
          <c:xMode val="edge"/>
          <c:yMode val="edge"/>
          <c:x val="7.3170731707317069E-2"/>
          <c:y val="0.90000292969703088"/>
          <c:w val="0.82363977485928763"/>
          <c:h val="6.0000195313135794E-2"/>
        </c:manualLayout>
      </c:layout>
      <c:overlay val="0"/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zero"/>
    <c:showDLblsOverMax val="0"/>
  </c:chart>
  <c:spPr>
    <a:ln>
      <a:noFill/>
    </a:ln>
  </c:spPr>
  <c:txPr>
    <a:bodyPr/>
    <a:lstStyle/>
    <a:p>
      <a:pPr>
        <a:defRPr sz="700">
          <a:latin typeface="Arial" pitchFamily="34" charset="0"/>
          <a:cs typeface="Arial" pitchFamily="34" charset="0"/>
        </a:defRPr>
      </a:pPr>
      <a:endParaRPr lang="sr-Latn-RS"/>
    </a:p>
  </c:txPr>
  <c:printSettings>
    <c:headerFooter alignWithMargins="0"/>
    <c:pageMargins b="0.75000000000000933" l="0.70000000000000062" r="0.70000000000000062" t="0.75000000000000933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bs-Latn-B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588795623535685"/>
          <c:y val="6.0000195313135794E-2"/>
          <c:w val="0.78878576663420585"/>
          <c:h val="0.7400024088620079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'HHI - Ukupno'!$B$37</c:f>
              <c:strCache>
                <c:ptCount val="1"/>
                <c:pt idx="0">
                  <c:v>Tržišni udio prva četiri društva</c:v>
                </c:pt>
              </c:strCache>
            </c:strRef>
          </c:tx>
          <c:invertIfNegative val="0"/>
          <c:dLbls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sr-Latn-R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'HHI - Ukupno'!$C$36:$E$36</c:f>
              <c:strCache>
                <c:ptCount val="2"/>
                <c:pt idx="0">
                  <c:v>III K 2015.*</c:v>
                </c:pt>
                <c:pt idx="1">
                  <c:v>III K 2016.**</c:v>
                </c:pt>
              </c:strCache>
            </c:strRef>
          </c:cat>
          <c:val>
            <c:numRef>
              <c:f>'HHI - Ukupno'!$C$37:$D$37</c:f>
              <c:numCache>
                <c:formatCode>0.00%</c:formatCode>
                <c:ptCount val="2"/>
                <c:pt idx="0">
                  <c:v>0.3614239653435326</c:v>
                </c:pt>
                <c:pt idx="1">
                  <c:v>0.34411251329275055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7671040"/>
        <c:axId val="77685120"/>
      </c:barChart>
      <c:lineChart>
        <c:grouping val="stacked"/>
        <c:varyColors val="0"/>
        <c:ser>
          <c:idx val="1"/>
          <c:order val="1"/>
          <c:tx>
            <c:strRef>
              <c:f>'HHI - Ukupno'!$B$38</c:f>
              <c:strCache>
                <c:ptCount val="1"/>
                <c:pt idx="0">
                  <c:v>HHI</c:v>
                </c:pt>
              </c:strCache>
            </c:strRef>
          </c:tx>
          <c:marker>
            <c:symbol val="square"/>
            <c:size val="5"/>
          </c:marker>
          <c:dLbls>
            <c:dLbl>
              <c:idx val="0"/>
              <c:layout>
                <c:manualLayout>
                  <c:x val="-3.7539012100879822E-2"/>
                  <c:y val="-4.22696779463821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1651261512549428E-2"/>
                  <c:y val="-4.28015816354070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2.0716599362596167E-2"/>
                  <c:y val="-4.385843867619085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1.4174651696472263E-2"/>
                  <c:y val="-3.19356352162597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'HHI - Ukupno'!$C$36:$D$36</c:f>
              <c:strCache>
                <c:ptCount val="2"/>
                <c:pt idx="0">
                  <c:v>III K 2015.*</c:v>
                </c:pt>
                <c:pt idx="1">
                  <c:v>III K 2016.**</c:v>
                </c:pt>
              </c:strCache>
            </c:strRef>
          </c:cat>
          <c:val>
            <c:numRef>
              <c:f>'HHI - Ukupno'!$C$38:$D$38</c:f>
              <c:numCache>
                <c:formatCode>#,##0</c:formatCode>
                <c:ptCount val="2"/>
                <c:pt idx="0" formatCode="0">
                  <c:v>586.88534715771425</c:v>
                </c:pt>
                <c:pt idx="1">
                  <c:v>564.42111068307327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686656"/>
        <c:axId val="77688192"/>
      </c:lineChart>
      <c:catAx>
        <c:axId val="77671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77685120"/>
        <c:crossesAt val="0.30000000000000032"/>
        <c:auto val="1"/>
        <c:lblAlgn val="ctr"/>
        <c:lblOffset val="100"/>
        <c:noMultiLvlLbl val="0"/>
      </c:catAx>
      <c:valAx>
        <c:axId val="77685120"/>
        <c:scaling>
          <c:orientation val="minMax"/>
          <c:max val="0.5"/>
          <c:min val="0.30000000000000032"/>
        </c:scaling>
        <c:delete val="0"/>
        <c:axPos val="l"/>
        <c:majorGridlines>
          <c:spPr>
            <a:ln>
              <a:solidFill>
                <a:sysClr val="window" lastClr="FFFFFF"/>
              </a:solidFill>
            </a:ln>
          </c:spPr>
        </c:majorGridlines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77671040"/>
        <c:crosses val="autoZero"/>
        <c:crossBetween val="between"/>
        <c:majorUnit val="0.05"/>
        <c:minorUnit val="1.0000000000000005E-2"/>
      </c:valAx>
      <c:catAx>
        <c:axId val="7768665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77688192"/>
        <c:crossesAt val="500"/>
        <c:auto val="1"/>
        <c:lblAlgn val="ctr"/>
        <c:lblOffset val="100"/>
        <c:noMultiLvlLbl val="0"/>
      </c:catAx>
      <c:valAx>
        <c:axId val="77688192"/>
        <c:scaling>
          <c:orientation val="minMax"/>
          <c:max val="650"/>
          <c:min val="500"/>
        </c:scaling>
        <c:delete val="0"/>
        <c:axPos val="r"/>
        <c:numFmt formatCode="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77686656"/>
        <c:crosses val="max"/>
        <c:crossBetween val="between"/>
        <c:majorUnit val="50"/>
        <c:minorUnit val="10"/>
      </c:valAx>
    </c:plotArea>
    <c:legend>
      <c:legendPos val="b"/>
      <c:layout>
        <c:manualLayout>
          <c:xMode val="edge"/>
          <c:yMode val="edge"/>
          <c:x val="4.1121532857707407E-2"/>
          <c:y val="0.91000296224922606"/>
          <c:w val="0.89532791994734906"/>
          <c:h val="6.0000195313135794E-2"/>
        </c:manualLayout>
      </c:layout>
      <c:overlay val="0"/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zero"/>
    <c:showDLblsOverMax val="0"/>
  </c:chart>
  <c:spPr>
    <a:ln>
      <a:noFill/>
    </a:ln>
  </c:spPr>
  <c:txPr>
    <a:bodyPr/>
    <a:lstStyle/>
    <a:p>
      <a:pPr>
        <a:defRPr sz="700">
          <a:latin typeface="Arial" pitchFamily="34" charset="0"/>
          <a:cs typeface="Arial" pitchFamily="34" charset="0"/>
        </a:defRPr>
      </a:pPr>
      <a:endParaRPr lang="sr-Latn-RS"/>
    </a:p>
  </c:txPr>
  <c:printSettings>
    <c:headerFooter alignWithMargins="0"/>
    <c:pageMargins b="0.75000000000000933" l="0.70000000000000062" r="0.70000000000000062" t="0.75000000000000933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19049</xdr:colOff>
      <xdr:row>9</xdr:row>
      <xdr:rowOff>19050</xdr:rowOff>
    </xdr:from>
    <xdr:to>
      <xdr:col>3</xdr:col>
      <xdr:colOff>0</xdr:colOff>
      <xdr:row>24</xdr:row>
      <xdr:rowOff>28575</xdr:rowOff>
    </xdr:to>
    <xdr:graphicFrame macro="">
      <xdr:nvGraphicFramePr>
        <xdr:cNvPr id="1026" name="Chart 3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19052</xdr:colOff>
      <xdr:row>23</xdr:row>
      <xdr:rowOff>38099</xdr:rowOff>
    </xdr:from>
    <xdr:to>
      <xdr:col>4</xdr:col>
      <xdr:colOff>1</xdr:colOff>
      <xdr:row>42</xdr:row>
      <xdr:rowOff>152399</xdr:rowOff>
    </xdr:to>
    <xdr:graphicFrame macro="">
      <xdr:nvGraphicFramePr>
        <xdr:cNvPr id="4097" name="Chart 1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19051</xdr:colOff>
      <xdr:row>40</xdr:row>
      <xdr:rowOff>19050</xdr:rowOff>
    </xdr:from>
    <xdr:to>
      <xdr:col>4</xdr:col>
      <xdr:colOff>0</xdr:colOff>
      <xdr:row>56</xdr:row>
      <xdr:rowOff>190500</xdr:rowOff>
    </xdr:to>
    <xdr:graphicFrame macro="">
      <xdr:nvGraphicFramePr>
        <xdr:cNvPr id="6145" name="Chart 1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40</xdr:row>
      <xdr:rowOff>19050</xdr:rowOff>
    </xdr:from>
    <xdr:to>
      <xdr:col>4</xdr:col>
      <xdr:colOff>0</xdr:colOff>
      <xdr:row>57</xdr:row>
      <xdr:rowOff>9525</xdr:rowOff>
    </xdr:to>
    <xdr:graphicFrame macro="">
      <xdr:nvGraphicFramePr>
        <xdr:cNvPr id="8193" name="Chart 1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29"/>
  <sheetViews>
    <sheetView showGridLines="0" tabSelected="1" showRuler="0" view="pageLayout" zoomScaleNormal="100" workbookViewId="0">
      <selection activeCell="B2" sqref="B2:D2"/>
    </sheetView>
  </sheetViews>
  <sheetFormatPr defaultColWidth="10.42578125" defaultRowHeight="12.75" x14ac:dyDescent="0.2"/>
  <cols>
    <col min="1" max="1" width="3" style="1" customWidth="1"/>
    <col min="2" max="2" width="36.140625" style="1" customWidth="1"/>
    <col min="3" max="3" width="15.7109375" style="1" customWidth="1"/>
    <col min="4" max="4" width="16" style="1" customWidth="1"/>
    <col min="5" max="16384" width="10.42578125" style="1"/>
  </cols>
  <sheetData>
    <row r="2" spans="2:4" ht="15.75" x14ac:dyDescent="0.25">
      <c r="B2" s="128" t="s">
        <v>30</v>
      </c>
      <c r="C2" s="129"/>
      <c r="D2" s="130"/>
    </row>
    <row r="3" spans="2:4" ht="13.5" thickBot="1" x14ac:dyDescent="0.25"/>
    <row r="4" spans="2:4" ht="26.25" customHeight="1" x14ac:dyDescent="0.2">
      <c r="B4" s="24" t="s">
        <v>23</v>
      </c>
      <c r="C4" s="25" t="s">
        <v>28</v>
      </c>
      <c r="D4" s="26" t="s">
        <v>29</v>
      </c>
    </row>
    <row r="5" spans="2:4" ht="15" x14ac:dyDescent="0.25">
      <c r="B5" s="27" t="s">
        <v>41</v>
      </c>
      <c r="C5" s="97">
        <v>0.42480073822720299</v>
      </c>
      <c r="D5" s="98">
        <v>0.41840676606468302</v>
      </c>
    </row>
    <row r="6" spans="2:4" ht="15" x14ac:dyDescent="0.25">
      <c r="B6" s="28" t="s">
        <v>42</v>
      </c>
      <c r="C6" s="97">
        <v>0.68243498765638133</v>
      </c>
      <c r="D6" s="98">
        <v>0.66857981741310779</v>
      </c>
    </row>
    <row r="7" spans="2:4" ht="15.75" thickBot="1" x14ac:dyDescent="0.3">
      <c r="B7" s="29" t="s">
        <v>22</v>
      </c>
      <c r="C7" s="99">
        <v>0.10331299102612616</v>
      </c>
      <c r="D7" s="127">
        <v>9.0133723088878626E-2</v>
      </c>
    </row>
    <row r="27" spans="2:7" x14ac:dyDescent="0.2">
      <c r="B27" s="33" t="s">
        <v>43</v>
      </c>
      <c r="G27" s="30"/>
    </row>
    <row r="29" spans="2:7" x14ac:dyDescent="0.2">
      <c r="B29" s="33" t="s">
        <v>44</v>
      </c>
    </row>
  </sheetData>
  <mergeCells count="1">
    <mergeCell ref="B2:D2"/>
  </mergeCells>
  <phoneticPr fontId="26" type="noConversion"/>
  <pageMargins left="0.39370078740157483" right="0.39370078740157483" top="0.39370078740157483" bottom="0.39370078740157483" header="0.19685039370078741" footer="0.19685039370078741"/>
  <pageSetup paperSize="9" orientation="landscape" r:id="rId1"/>
  <headerFooter>
    <oddHeader>&amp;LAgencija za osiguranje u BiH&amp;CStatistika tržišta osiguranja&amp;RKvartalno izvješće</oddHeader>
    <oddFooter>&amp;CU izvješće su uključeni podatci zaključno s 30.09.2016. godine.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38"/>
  <sheetViews>
    <sheetView showGridLines="0" showRuler="0" view="pageLayout" zoomScaleNormal="100" workbookViewId="0">
      <selection activeCell="B2" sqref="B2:H2"/>
    </sheetView>
  </sheetViews>
  <sheetFormatPr defaultColWidth="10.42578125" defaultRowHeight="12.75" x14ac:dyDescent="0.2"/>
  <cols>
    <col min="1" max="1" width="3.5703125" style="2" customWidth="1"/>
    <col min="2" max="2" width="33.7109375" style="2" customWidth="1"/>
    <col min="3" max="3" width="16.7109375" style="2" customWidth="1"/>
    <col min="4" max="4" width="8.28515625" style="2" customWidth="1"/>
    <col min="5" max="5" width="7.5703125" style="2" customWidth="1"/>
    <col min="6" max="6" width="16.7109375" style="2" customWidth="1"/>
    <col min="7" max="7" width="7.85546875" style="2" customWidth="1"/>
    <col min="8" max="8" width="7.5703125" style="2" customWidth="1"/>
    <col min="9" max="9" width="8.28515625" style="2" bestFit="1" customWidth="1"/>
    <col min="10" max="10" width="12" style="2" customWidth="1"/>
    <col min="11" max="16384" width="10.42578125" style="2"/>
  </cols>
  <sheetData>
    <row r="1" spans="2:10" ht="15.75" customHeight="1" x14ac:dyDescent="0.2"/>
    <row r="2" spans="2:10" ht="15.75" x14ac:dyDescent="0.25">
      <c r="B2" s="133" t="s">
        <v>31</v>
      </c>
      <c r="C2" s="134"/>
      <c r="D2" s="134"/>
      <c r="E2" s="134"/>
      <c r="F2" s="134"/>
      <c r="G2" s="134"/>
      <c r="H2" s="135"/>
      <c r="I2" s="4"/>
    </row>
    <row r="3" spans="2:10" ht="16.5" thickBot="1" x14ac:dyDescent="0.3">
      <c r="B3" s="36"/>
      <c r="C3" s="4"/>
      <c r="D3" s="4"/>
      <c r="E3" s="4"/>
      <c r="F3" s="4"/>
      <c r="G3" s="4"/>
      <c r="H3" s="4"/>
      <c r="I3" s="4"/>
    </row>
    <row r="4" spans="2:10" ht="15.75" x14ac:dyDescent="0.25">
      <c r="B4" s="138" t="s">
        <v>47</v>
      </c>
      <c r="C4" s="136" t="s">
        <v>28</v>
      </c>
      <c r="D4" s="136"/>
      <c r="E4" s="136"/>
      <c r="F4" s="136" t="s">
        <v>29</v>
      </c>
      <c r="G4" s="136"/>
      <c r="H4" s="137"/>
      <c r="I4" s="4"/>
    </row>
    <row r="5" spans="2:10" ht="42" customHeight="1" x14ac:dyDescent="0.25">
      <c r="B5" s="139"/>
      <c r="C5" s="12" t="s">
        <v>45</v>
      </c>
      <c r="D5" s="12" t="s">
        <v>1</v>
      </c>
      <c r="E5" s="13" t="s">
        <v>0</v>
      </c>
      <c r="F5" s="12" t="s">
        <v>45</v>
      </c>
      <c r="G5" s="12" t="s">
        <v>1</v>
      </c>
      <c r="H5" s="14" t="s">
        <v>0</v>
      </c>
      <c r="I5" s="4"/>
    </row>
    <row r="6" spans="2:10" ht="15.75" x14ac:dyDescent="0.25">
      <c r="B6" s="39" t="s">
        <v>4</v>
      </c>
      <c r="C6" s="76">
        <f>21582107.83/1000</f>
        <v>21582.107829999997</v>
      </c>
      <c r="D6" s="61">
        <f t="shared" ref="D6:D15" si="0">C6/C$16*100</f>
        <v>24.27093722287303</v>
      </c>
      <c r="E6" s="62">
        <f>D6^2</f>
        <v>589.0783936766436</v>
      </c>
      <c r="F6" s="115">
        <f>23699671.62/1000</f>
        <v>23699.671620000001</v>
      </c>
      <c r="G6" s="15">
        <f t="shared" ref="G6:G15" si="1">F6/F$16*100</f>
        <v>25.518157383953032</v>
      </c>
      <c r="H6" s="16">
        <f>G6^2</f>
        <v>651.17635627219659</v>
      </c>
      <c r="I6" s="4"/>
      <c r="J6" s="33" t="s">
        <v>43</v>
      </c>
    </row>
    <row r="7" spans="2:10" ht="15.75" x14ac:dyDescent="0.25">
      <c r="B7" s="39" t="s">
        <v>3</v>
      </c>
      <c r="C7" s="112">
        <f>20979988.85/1000</f>
        <v>20979.988850000002</v>
      </c>
      <c r="D7" s="61">
        <f t="shared" si="0"/>
        <v>23.593802622332941</v>
      </c>
      <c r="E7" s="62">
        <f>D7^2</f>
        <v>556.6675221816048</v>
      </c>
      <c r="F7" s="116">
        <f>19805928.7100002/1000</f>
        <v>19805.928710000197</v>
      </c>
      <c r="G7" s="15">
        <f t="shared" si="1"/>
        <v>21.325645943998055</v>
      </c>
      <c r="H7" s="16">
        <f>G7^2</f>
        <v>454.78317492876067</v>
      </c>
      <c r="I7" s="4"/>
    </row>
    <row r="8" spans="2:10" ht="15.75" x14ac:dyDescent="0.25">
      <c r="B8" s="39" t="s">
        <v>5</v>
      </c>
      <c r="C8" s="76">
        <f>15938143.42/1000</f>
        <v>15938.14342</v>
      </c>
      <c r="D8" s="61">
        <f t="shared" si="0"/>
        <v>17.9238136257596</v>
      </c>
      <c r="E8" s="62">
        <f t="shared" ref="E8:E15" si="2">D8^2</f>
        <v>321.26309489096548</v>
      </c>
      <c r="F8" s="115">
        <f>17029360.59/1000</f>
        <v>17029.36059</v>
      </c>
      <c r="G8" s="15">
        <f t="shared" si="1"/>
        <v>18.33603058520805</v>
      </c>
      <c r="H8" s="16">
        <f t="shared" ref="H8:H15" si="3">G8^2</f>
        <v>336.21001762168504</v>
      </c>
      <c r="I8" s="4"/>
      <c r="J8" s="33" t="s">
        <v>44</v>
      </c>
    </row>
    <row r="9" spans="2:10" ht="15.75" x14ac:dyDescent="0.25">
      <c r="B9" s="40" t="s">
        <v>6</v>
      </c>
      <c r="C9" s="76">
        <f>10428213.78/1000</f>
        <v>10428.21378</v>
      </c>
      <c r="D9" s="61">
        <f t="shared" si="0"/>
        <v>11.727423660132807</v>
      </c>
      <c r="E9" s="62">
        <f t="shared" si="2"/>
        <v>137.53246570424275</v>
      </c>
      <c r="F9" s="115">
        <f>10871334.94/1000</f>
        <v>10871.334939999999</v>
      </c>
      <c r="G9" s="15">
        <f t="shared" si="1"/>
        <v>11.705497038974903</v>
      </c>
      <c r="H9" s="16">
        <f t="shared" si="3"/>
        <v>137.01866092945022</v>
      </c>
      <c r="I9" s="4"/>
    </row>
    <row r="10" spans="2:10" ht="15.75" x14ac:dyDescent="0.25">
      <c r="B10" s="39" t="s">
        <v>8</v>
      </c>
      <c r="C10" s="76">
        <f>5831647.92/1000</f>
        <v>5831.6479200000003</v>
      </c>
      <c r="D10" s="17">
        <f t="shared" si="0"/>
        <v>6.5581898527757527</v>
      </c>
      <c r="E10" s="62">
        <f t="shared" si="2"/>
        <v>43.009854145050852</v>
      </c>
      <c r="F10" s="115">
        <f>7350428.53999997/1000</f>
        <v>7350.4285399999699</v>
      </c>
      <c r="G10" s="17">
        <f t="shared" si="1"/>
        <v>7.9144300111285402</v>
      </c>
      <c r="H10" s="16">
        <f t="shared" si="3"/>
        <v>62.638202401052105</v>
      </c>
      <c r="I10" s="4"/>
      <c r="J10" s="33"/>
    </row>
    <row r="11" spans="2:10" ht="15.75" x14ac:dyDescent="0.25">
      <c r="B11" s="39" t="s">
        <v>7</v>
      </c>
      <c r="C11" s="76">
        <f>5558884/1000</f>
        <v>5558.884</v>
      </c>
      <c r="D11" s="17">
        <f t="shared" si="0"/>
        <v>6.2514433555785525</v>
      </c>
      <c r="E11" s="62">
        <f t="shared" si="2"/>
        <v>39.080544028007232</v>
      </c>
      <c r="F11" s="115">
        <f>5400814.18/1000</f>
        <v>5400.8141799999994</v>
      </c>
      <c r="G11" s="17">
        <f t="shared" si="1"/>
        <v>5.8152209218975344</v>
      </c>
      <c r="H11" s="16">
        <f t="shared" si="3"/>
        <v>33.81679437047481</v>
      </c>
      <c r="I11" s="4"/>
    </row>
    <row r="12" spans="2:10" ht="15.75" x14ac:dyDescent="0.25">
      <c r="B12" s="39" t="s">
        <v>25</v>
      </c>
      <c r="C12" s="76">
        <f>3771358.02/1000</f>
        <v>3771.3580200000001</v>
      </c>
      <c r="D12" s="17">
        <f t="shared" si="0"/>
        <v>4.2412165887319979</v>
      </c>
      <c r="E12" s="62">
        <f t="shared" si="2"/>
        <v>17.987918152535485</v>
      </c>
      <c r="F12" s="115">
        <f>3326289.96/1000</f>
        <v>3326.2899600000001</v>
      </c>
      <c r="G12" s="17">
        <f t="shared" si="1"/>
        <v>3.5815175866113047</v>
      </c>
      <c r="H12" s="16">
        <f t="shared" si="3"/>
        <v>12.827268223206065</v>
      </c>
      <c r="I12" s="4"/>
    </row>
    <row r="13" spans="2:10" ht="15.75" x14ac:dyDescent="0.25">
      <c r="B13" s="49" t="s">
        <v>35</v>
      </c>
      <c r="C13" s="76">
        <f>1558960.69/1000</f>
        <v>1558.9606899999999</v>
      </c>
      <c r="D13" s="17">
        <f t="shared" si="0"/>
        <v>1.7531854320235241</v>
      </c>
      <c r="E13" s="62">
        <f>D13^2</f>
        <v>3.0736591590595106</v>
      </c>
      <c r="F13" s="115">
        <f>2443330.32/1000</f>
        <v>2443.33032</v>
      </c>
      <c r="G13" s="17">
        <f t="shared" si="1"/>
        <v>2.6308080823418734</v>
      </c>
      <c r="H13" s="16">
        <f>G13^2</f>
        <v>6.9211511661153251</v>
      </c>
      <c r="I13" s="4"/>
    </row>
    <row r="14" spans="2:10" ht="15.75" x14ac:dyDescent="0.25">
      <c r="B14" s="39" t="s">
        <v>26</v>
      </c>
      <c r="C14" s="76">
        <f>2718283.23/1000</f>
        <v>2718.28323</v>
      </c>
      <c r="D14" s="17">
        <f t="shared" si="0"/>
        <v>3.0569433787004923</v>
      </c>
      <c r="E14" s="62">
        <f t="shared" si="2"/>
        <v>9.3449028205807814</v>
      </c>
      <c r="F14" s="115">
        <f>2413853.67/1000</f>
        <v>2413.85367</v>
      </c>
      <c r="G14" s="17">
        <f t="shared" si="1"/>
        <v>2.5990696765988619</v>
      </c>
      <c r="H14" s="16">
        <f t="shared" si="3"/>
        <v>6.7551631838157125</v>
      </c>
      <c r="I14" s="4"/>
    </row>
    <row r="15" spans="2:10" ht="15.75" x14ac:dyDescent="0.25">
      <c r="B15" s="39" t="s">
        <v>9</v>
      </c>
      <c r="C15" s="76">
        <f>554020.98/1000</f>
        <v>554.02098000000001</v>
      </c>
      <c r="D15" s="17">
        <f t="shared" si="0"/>
        <v>0.62304426109127631</v>
      </c>
      <c r="E15" s="62">
        <f t="shared" si="2"/>
        <v>0.38818415127877448</v>
      </c>
      <c r="F15" s="115">
        <f>532745.02/1000</f>
        <v>532.74502000000007</v>
      </c>
      <c r="G15" s="17">
        <f t="shared" si="1"/>
        <v>0.57362276928785594</v>
      </c>
      <c r="H15" s="16">
        <f t="shared" si="3"/>
        <v>0.32904308144546879</v>
      </c>
      <c r="I15" s="4"/>
    </row>
    <row r="16" spans="2:10" ht="16.5" thickBot="1" x14ac:dyDescent="0.3">
      <c r="B16" s="18" t="s">
        <v>2</v>
      </c>
      <c r="C16" s="56">
        <f t="shared" ref="C16:H16" si="4">SUM(C6:C15)</f>
        <v>88921.608720000018</v>
      </c>
      <c r="D16" s="20">
        <f t="shared" si="4"/>
        <v>100.00000000000001</v>
      </c>
      <c r="E16" s="19">
        <f t="shared" si="4"/>
        <v>1717.4265389099689</v>
      </c>
      <c r="F16" s="114">
        <f t="shared" si="4"/>
        <v>92873.757550000155</v>
      </c>
      <c r="G16" s="20">
        <f t="shared" si="4"/>
        <v>100</v>
      </c>
      <c r="H16" s="31">
        <f t="shared" si="4"/>
        <v>1702.4758321782019</v>
      </c>
      <c r="I16" s="4"/>
    </row>
    <row r="17" spans="2:21" ht="15.75" x14ac:dyDescent="0.25">
      <c r="B17" s="4"/>
      <c r="C17" s="4"/>
      <c r="D17" s="4"/>
      <c r="E17" s="4"/>
      <c r="F17" s="109"/>
      <c r="G17" s="4"/>
      <c r="H17" s="4"/>
      <c r="I17" s="4"/>
    </row>
    <row r="18" spans="2:21" ht="15.75" x14ac:dyDescent="0.25">
      <c r="B18" s="5"/>
      <c r="D18" s="4"/>
      <c r="E18" s="4"/>
      <c r="F18" s="109"/>
      <c r="G18" s="4"/>
      <c r="H18" s="4"/>
      <c r="I18" s="4"/>
      <c r="K18" s="106"/>
      <c r="L18" s="106"/>
      <c r="M18" s="107"/>
    </row>
    <row r="19" spans="2:21" ht="15.75" x14ac:dyDescent="0.25">
      <c r="B19" s="67"/>
      <c r="C19" s="103" t="s">
        <v>28</v>
      </c>
      <c r="D19" s="140" t="s">
        <v>29</v>
      </c>
      <c r="E19" s="140"/>
      <c r="F19" s="107"/>
      <c r="G19" s="113"/>
      <c r="H19" s="4"/>
      <c r="K19" s="106"/>
      <c r="L19" s="106"/>
      <c r="M19" s="107"/>
      <c r="U19" s="4"/>
    </row>
    <row r="20" spans="2:21" ht="15.75" x14ac:dyDescent="0.25">
      <c r="B20" s="60" t="s">
        <v>24</v>
      </c>
      <c r="C20" s="102">
        <f>SUM(D6:D9)/100</f>
        <v>0.7751597713109839</v>
      </c>
      <c r="D20" s="131">
        <f>SUM(G6:G9)/100</f>
        <v>0.76885330952134046</v>
      </c>
      <c r="E20" s="131"/>
      <c r="F20" s="110"/>
      <c r="G20" s="64"/>
      <c r="H20" s="4"/>
      <c r="K20" s="106"/>
      <c r="L20" s="106"/>
      <c r="M20" s="107"/>
      <c r="U20" s="4"/>
    </row>
    <row r="21" spans="2:21" ht="15.75" x14ac:dyDescent="0.25">
      <c r="B21" s="60" t="s">
        <v>0</v>
      </c>
      <c r="C21" s="69">
        <f>E16</f>
        <v>1717.4265389099689</v>
      </c>
      <c r="D21" s="132">
        <f>H16</f>
        <v>1702.4758321782019</v>
      </c>
      <c r="E21" s="132"/>
      <c r="F21" s="111"/>
      <c r="G21" s="65"/>
      <c r="H21" s="33"/>
      <c r="K21" s="106"/>
      <c r="L21" s="106"/>
      <c r="M21" s="107"/>
      <c r="U21" s="4"/>
    </row>
    <row r="22" spans="2:21" x14ac:dyDescent="0.2">
      <c r="F22" s="111"/>
      <c r="J22" s="105"/>
      <c r="K22" s="106"/>
      <c r="L22" s="106"/>
      <c r="M22" s="107"/>
    </row>
    <row r="23" spans="2:21" x14ac:dyDescent="0.2">
      <c r="F23" s="3"/>
      <c r="K23" s="106"/>
      <c r="L23" s="106"/>
      <c r="M23" s="107"/>
      <c r="U23" s="38"/>
    </row>
    <row r="24" spans="2:21" x14ac:dyDescent="0.2">
      <c r="K24" s="106"/>
      <c r="L24" s="106"/>
      <c r="M24" s="107"/>
    </row>
    <row r="25" spans="2:21" x14ac:dyDescent="0.2">
      <c r="F25" s="9"/>
      <c r="K25" s="106"/>
      <c r="L25" s="106"/>
      <c r="M25" s="107"/>
    </row>
    <row r="26" spans="2:21" x14ac:dyDescent="0.2">
      <c r="F26" s="9"/>
      <c r="K26" s="106"/>
      <c r="L26" s="106"/>
      <c r="M26" s="107"/>
    </row>
    <row r="27" spans="2:21" x14ac:dyDescent="0.2">
      <c r="F27" s="9"/>
      <c r="K27" s="106"/>
      <c r="L27" s="106"/>
      <c r="M27" s="107"/>
    </row>
    <row r="28" spans="2:21" x14ac:dyDescent="0.2">
      <c r="F28" s="9"/>
      <c r="K28" s="106"/>
      <c r="L28" s="106"/>
      <c r="M28" s="107"/>
    </row>
    <row r="29" spans="2:21" x14ac:dyDescent="0.2">
      <c r="F29" s="9"/>
      <c r="J29" s="105"/>
      <c r="K29" s="106"/>
      <c r="L29" s="106"/>
      <c r="M29" s="107"/>
    </row>
    <row r="30" spans="2:21" x14ac:dyDescent="0.2">
      <c r="F30" s="9"/>
      <c r="J30" s="105"/>
      <c r="K30" s="106"/>
      <c r="L30" s="106"/>
      <c r="M30" s="107"/>
    </row>
    <row r="31" spans="2:21" x14ac:dyDescent="0.2">
      <c r="F31" s="10"/>
      <c r="I31" s="50"/>
      <c r="J31" s="108"/>
      <c r="K31" s="108"/>
      <c r="L31" s="108"/>
      <c r="M31" s="107"/>
    </row>
    <row r="32" spans="2:21" x14ac:dyDescent="0.2">
      <c r="I32" s="38"/>
    </row>
    <row r="33" spans="9:9" x14ac:dyDescent="0.2">
      <c r="I33" s="38"/>
    </row>
    <row r="36" spans="9:9" x14ac:dyDescent="0.2">
      <c r="I36" s="3"/>
    </row>
    <row r="37" spans="9:9" x14ac:dyDescent="0.2">
      <c r="I37" s="3"/>
    </row>
    <row r="38" spans="9:9" x14ac:dyDescent="0.2">
      <c r="I38" s="63"/>
    </row>
  </sheetData>
  <mergeCells count="7">
    <mergeCell ref="D20:E20"/>
    <mergeCell ref="D21:E21"/>
    <mergeCell ref="B2:H2"/>
    <mergeCell ref="F4:H4"/>
    <mergeCell ref="B4:B5"/>
    <mergeCell ref="C4:E4"/>
    <mergeCell ref="D19:E19"/>
  </mergeCells>
  <phoneticPr fontId="26" type="noConversion"/>
  <pageMargins left="0.39370078740157483" right="0.39370078740157483" top="0.39370078740157483" bottom="0.39370078740157483" header="0.19685039370078741" footer="0.19685039370078741"/>
  <pageSetup paperSize="9" scale="85" orientation="landscape" r:id="rId1"/>
  <headerFooter>
    <oddHeader>&amp;LAgencija za osiguranje u BiH&amp;CStatistika tržišta osiguranja&amp;RKvartalno izvješće</oddHeader>
    <oddFooter>&amp;CU izvješće su uključeni podatci zaključno s 30.09.2016. godine.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Z62"/>
  <sheetViews>
    <sheetView showGridLines="0" showRuler="0" view="pageLayout" zoomScaleNormal="100" workbookViewId="0">
      <selection activeCell="B2" sqref="B2:H2"/>
    </sheetView>
  </sheetViews>
  <sheetFormatPr defaultColWidth="10.42578125" defaultRowHeight="15.75" x14ac:dyDescent="0.25"/>
  <cols>
    <col min="1" max="1" width="3.5703125" style="4" customWidth="1"/>
    <col min="2" max="2" width="33.7109375" style="4" customWidth="1"/>
    <col min="3" max="3" width="16.7109375" style="4" customWidth="1"/>
    <col min="4" max="4" width="7.85546875" style="4" customWidth="1"/>
    <col min="5" max="5" width="7.5703125" style="4" customWidth="1"/>
    <col min="6" max="6" width="16.7109375" style="4" customWidth="1"/>
    <col min="7" max="7" width="7.85546875" style="4" customWidth="1"/>
    <col min="8" max="8" width="7.5703125" style="4" customWidth="1"/>
    <col min="9" max="17" width="9.140625" style="4" customWidth="1"/>
    <col min="18" max="22" width="10.42578125" style="4"/>
    <col min="23" max="23" width="12.85546875" style="4" bestFit="1" customWidth="1"/>
    <col min="24" max="24" width="13.85546875" style="4" bestFit="1" customWidth="1"/>
    <col min="25" max="25" width="14.28515625" style="4" bestFit="1" customWidth="1"/>
    <col min="26" max="26" width="15.42578125" style="4" bestFit="1" customWidth="1"/>
    <col min="27" max="16384" width="10.42578125" style="4"/>
  </cols>
  <sheetData>
    <row r="1" spans="2:26" ht="15.75" customHeight="1" x14ac:dyDescent="0.25"/>
    <row r="2" spans="2:26" x14ac:dyDescent="0.25">
      <c r="B2" s="142" t="s">
        <v>32</v>
      </c>
      <c r="C2" s="143"/>
      <c r="D2" s="143"/>
      <c r="E2" s="143"/>
      <c r="F2" s="143"/>
      <c r="G2" s="143"/>
      <c r="H2" s="144"/>
    </row>
    <row r="3" spans="2:26" ht="16.5" thickBot="1" x14ac:dyDescent="0.3">
      <c r="B3" s="57"/>
    </row>
    <row r="4" spans="2:26" x14ac:dyDescent="0.25">
      <c r="B4" s="138" t="s">
        <v>47</v>
      </c>
      <c r="C4" s="136" t="s">
        <v>28</v>
      </c>
      <c r="D4" s="136"/>
      <c r="E4" s="136"/>
      <c r="F4" s="136" t="s">
        <v>29</v>
      </c>
      <c r="G4" s="136"/>
      <c r="H4" s="137"/>
    </row>
    <row r="5" spans="2:26" ht="42" customHeight="1" x14ac:dyDescent="0.25">
      <c r="B5" s="139"/>
      <c r="C5" s="12" t="s">
        <v>45</v>
      </c>
      <c r="D5" s="12" t="s">
        <v>1</v>
      </c>
      <c r="E5" s="13" t="s">
        <v>0</v>
      </c>
      <c r="F5" s="12" t="s">
        <v>45</v>
      </c>
      <c r="G5" s="12" t="s">
        <v>1</v>
      </c>
      <c r="H5" s="14" t="s">
        <v>0</v>
      </c>
    </row>
    <row r="6" spans="2:26" x14ac:dyDescent="0.25">
      <c r="B6" s="42" t="s">
        <v>10</v>
      </c>
      <c r="C6" s="85">
        <f>40725993.8353/1000</f>
        <v>40725.993835299996</v>
      </c>
      <c r="D6" s="61">
        <f t="shared" ref="D6:D26" si="0">C6/C$33*100</f>
        <v>11.457312738120278</v>
      </c>
      <c r="E6" s="82">
        <f>D6^2</f>
        <v>131.27001517909318</v>
      </c>
      <c r="F6" s="85">
        <f>41272436.51/1000</f>
        <v>41272.43651</v>
      </c>
      <c r="G6" s="15">
        <f t="shared" ref="G6:G32" si="1">F6/F$33*100</f>
        <v>10.675265468033631</v>
      </c>
      <c r="H6" s="21">
        <f>G6^2</f>
        <v>113.9612928129913</v>
      </c>
      <c r="J6" s="33" t="s">
        <v>43</v>
      </c>
      <c r="W6" s="101"/>
      <c r="X6" s="58"/>
      <c r="Y6" s="58"/>
      <c r="Z6" s="59"/>
    </row>
    <row r="7" spans="2:26" x14ac:dyDescent="0.25">
      <c r="B7" s="42" t="s">
        <v>26</v>
      </c>
      <c r="C7" s="85">
        <f>43191956.61/1000</f>
        <v>43191.956610000001</v>
      </c>
      <c r="D7" s="61">
        <f t="shared" si="0"/>
        <v>12.151054106951202</v>
      </c>
      <c r="E7" s="82">
        <f>D7^2</f>
        <v>147.64811591005568</v>
      </c>
      <c r="F7" s="85">
        <f>40368681.3759/1000</f>
        <v>40368.6813759</v>
      </c>
      <c r="G7" s="15">
        <f t="shared" si="1"/>
        <v>10.441505923154853</v>
      </c>
      <c r="H7" s="21">
        <f>G7^2</f>
        <v>109.02504594327789</v>
      </c>
      <c r="W7" s="100"/>
      <c r="X7" s="58"/>
      <c r="Y7" s="58"/>
      <c r="Z7" s="59"/>
    </row>
    <row r="8" spans="2:26" x14ac:dyDescent="0.25">
      <c r="B8" s="42" t="s">
        <v>25</v>
      </c>
      <c r="C8" s="85">
        <f>31731798.42/1000</f>
        <v>31731.798420000003</v>
      </c>
      <c r="D8" s="61">
        <f t="shared" si="0"/>
        <v>8.9270046965878507</v>
      </c>
      <c r="E8" s="82">
        <f t="shared" ref="E8:E30" si="2">D8^2</f>
        <v>79.69141285290155</v>
      </c>
      <c r="F8" s="85">
        <f>34399329.05/1000</f>
        <v>34399.32905</v>
      </c>
      <c r="G8" s="15">
        <f t="shared" si="1"/>
        <v>8.8975112831542198</v>
      </c>
      <c r="H8" s="21">
        <f t="shared" ref="H8:H30" si="3">G8^2</f>
        <v>79.165707033856648</v>
      </c>
      <c r="J8" s="33" t="s">
        <v>44</v>
      </c>
      <c r="W8" s="101"/>
      <c r="X8" s="58"/>
      <c r="Y8" s="58"/>
      <c r="Z8" s="59"/>
    </row>
    <row r="9" spans="2:26" x14ac:dyDescent="0.25">
      <c r="B9" s="42" t="s">
        <v>7</v>
      </c>
      <c r="C9" s="85">
        <f>21826842.25/1000</f>
        <v>21826.842250000002</v>
      </c>
      <c r="D9" s="83">
        <f t="shared" si="0"/>
        <v>6.1404752639113775</v>
      </c>
      <c r="E9" s="82">
        <f>D9^2</f>
        <v>37.705436466707503</v>
      </c>
      <c r="F9" s="85">
        <f>30222624.97/1000</f>
        <v>30222.624969999997</v>
      </c>
      <c r="G9" s="15">
        <f t="shared" si="1"/>
        <v>7.8171916169136271</v>
      </c>
      <c r="H9" s="21">
        <f>G9^2</f>
        <v>61.108484775544689</v>
      </c>
      <c r="W9" s="101"/>
      <c r="X9" s="58"/>
      <c r="Y9" s="58"/>
      <c r="Z9" s="59"/>
    </row>
    <row r="10" spans="2:26" x14ac:dyDescent="0.25">
      <c r="B10" s="42" t="s">
        <v>8</v>
      </c>
      <c r="C10" s="85">
        <f>22331730.32/1000</f>
        <v>22331.730319999999</v>
      </c>
      <c r="D10" s="83">
        <f t="shared" si="0"/>
        <v>6.2825137992784867</v>
      </c>
      <c r="E10" s="82">
        <f>D10^2</f>
        <v>39.469979638124606</v>
      </c>
      <c r="F10" s="85">
        <f>23717037.23/1000</f>
        <v>23717.037230000002</v>
      </c>
      <c r="G10" s="17">
        <f t="shared" si="1"/>
        <v>6.1344977412259638</v>
      </c>
      <c r="H10" s="21">
        <f>G10^2</f>
        <v>37.632062537106449</v>
      </c>
      <c r="J10" s="122" t="s">
        <v>52</v>
      </c>
      <c r="W10" s="101"/>
      <c r="X10" s="58"/>
      <c r="Y10" s="58"/>
      <c r="Z10" s="59"/>
    </row>
    <row r="11" spans="2:26" x14ac:dyDescent="0.25">
      <c r="B11" s="51" t="s">
        <v>35</v>
      </c>
      <c r="C11" s="86">
        <f>24457972.75/1000</f>
        <v>24457.972750000001</v>
      </c>
      <c r="D11" s="61">
        <f t="shared" si="0"/>
        <v>6.8806827371830916</v>
      </c>
      <c r="E11" s="82">
        <f t="shared" si="2"/>
        <v>47.343794929769402</v>
      </c>
      <c r="F11" s="86">
        <f>22708971.88/1000</f>
        <v>22708.971879999997</v>
      </c>
      <c r="G11" s="17">
        <f t="shared" si="1"/>
        <v>5.8737579804956068</v>
      </c>
      <c r="H11" s="21">
        <f>G11^2</f>
        <v>34.501032813435828</v>
      </c>
      <c r="J11" s="122" t="s">
        <v>46</v>
      </c>
      <c r="W11" s="101"/>
      <c r="X11" s="58"/>
      <c r="Y11" s="58"/>
      <c r="Z11" s="59"/>
    </row>
    <row r="12" spans="2:26" x14ac:dyDescent="0.25">
      <c r="B12" s="42" t="s">
        <v>11</v>
      </c>
      <c r="C12" s="85">
        <f>17660621.21/1000</f>
        <v>17660.621210000001</v>
      </c>
      <c r="D12" s="83">
        <f t="shared" si="0"/>
        <v>4.9684057108771027</v>
      </c>
      <c r="E12" s="82">
        <f t="shared" si="2"/>
        <v>24.685055307876208</v>
      </c>
      <c r="F12" s="85">
        <f>19602613.37/1000</f>
        <v>19602.613370000003</v>
      </c>
      <c r="G12" s="17">
        <f t="shared" si="1"/>
        <v>5.0702870798837507</v>
      </c>
      <c r="H12" s="21">
        <f t="shared" si="3"/>
        <v>25.70781107243609</v>
      </c>
      <c r="W12" s="101"/>
      <c r="X12" s="58"/>
      <c r="Y12" s="58"/>
      <c r="Z12" s="59"/>
    </row>
    <row r="13" spans="2:26" x14ac:dyDescent="0.25">
      <c r="B13" s="43" t="s">
        <v>4</v>
      </c>
      <c r="C13" s="85">
        <f>16888128.86/1000</f>
        <v>16888.128860000001</v>
      </c>
      <c r="D13" s="83">
        <f t="shared" si="0"/>
        <v>4.7510829249053579</v>
      </c>
      <c r="E13" s="82">
        <f>D13^2</f>
        <v>22.572788959327251</v>
      </c>
      <c r="F13" s="85">
        <f>19518653.89/1000</f>
        <v>19518.653890000001</v>
      </c>
      <c r="G13" s="17">
        <f t="shared" si="1"/>
        <v>5.048570655719141</v>
      </c>
      <c r="H13" s="21">
        <f t="shared" ref="H13:H18" si="4">G13^2</f>
        <v>25.488065665788397</v>
      </c>
      <c r="J13" s="122" t="s">
        <v>48</v>
      </c>
      <c r="L13" s="105"/>
      <c r="M13" s="106"/>
      <c r="N13" s="106"/>
      <c r="O13" s="117"/>
      <c r="P13" s="118"/>
      <c r="W13" s="101"/>
      <c r="X13" s="58"/>
      <c r="Y13" s="58"/>
      <c r="Z13" s="59"/>
    </row>
    <row r="14" spans="2:26" x14ac:dyDescent="0.25">
      <c r="B14" s="42" t="s">
        <v>12</v>
      </c>
      <c r="C14" s="86">
        <f>17384673.96/1000</f>
        <v>17384.67396</v>
      </c>
      <c r="D14" s="83">
        <f t="shared" si="0"/>
        <v>4.8907743593805586</v>
      </c>
      <c r="E14" s="82">
        <f t="shared" si="2"/>
        <v>23.919673834374315</v>
      </c>
      <c r="F14" s="86">
        <f>18863668.73/1000</f>
        <v>18863.668730000001</v>
      </c>
      <c r="G14" s="17">
        <f t="shared" si="1"/>
        <v>4.8791563673495082</v>
      </c>
      <c r="H14" s="21">
        <f t="shared" si="4"/>
        <v>23.806166857047248</v>
      </c>
      <c r="J14" s="122" t="s">
        <v>53</v>
      </c>
      <c r="W14" s="101"/>
      <c r="X14" s="58"/>
      <c r="Y14" s="58"/>
      <c r="Z14" s="59"/>
    </row>
    <row r="15" spans="2:26" x14ac:dyDescent="0.25">
      <c r="B15" s="42" t="s">
        <v>9</v>
      </c>
      <c r="C15" s="86">
        <f>13308419.25/1000</f>
        <v>13308.419250000001</v>
      </c>
      <c r="D15" s="83">
        <f t="shared" si="0"/>
        <v>3.7440147443401717</v>
      </c>
      <c r="E15" s="82">
        <f>D15^2</f>
        <v>14.017646405836601</v>
      </c>
      <c r="F15" s="86">
        <f>15808932.49/1000</f>
        <v>15808.932490000001</v>
      </c>
      <c r="G15" s="17">
        <f t="shared" si="1"/>
        <v>4.0890377541941714</v>
      </c>
      <c r="H15" s="21">
        <f t="shared" si="4"/>
        <v>16.720229755225311</v>
      </c>
      <c r="L15" s="105"/>
      <c r="M15" s="106"/>
      <c r="N15" s="106"/>
      <c r="O15" s="117"/>
      <c r="P15" s="118"/>
      <c r="W15" s="101"/>
      <c r="X15" s="58"/>
      <c r="Y15" s="58"/>
      <c r="Z15" s="59"/>
    </row>
    <row r="16" spans="2:26" x14ac:dyDescent="0.25">
      <c r="B16" s="42" t="s">
        <v>16</v>
      </c>
      <c r="C16" s="85">
        <f>12873030.84/1000</f>
        <v>12873.030839999999</v>
      </c>
      <c r="D16" s="83">
        <f t="shared" si="0"/>
        <v>3.6215283245833825</v>
      </c>
      <c r="E16" s="82">
        <f>D16^2</f>
        <v>13.115467405759722</v>
      </c>
      <c r="F16" s="85">
        <f>15102715.7310137/1000</f>
        <v>15102.715731013701</v>
      </c>
      <c r="G16" s="17">
        <f t="shared" si="1"/>
        <v>3.9063722268433345</v>
      </c>
      <c r="H16" s="21">
        <f t="shared" si="4"/>
        <v>15.259743974652952</v>
      </c>
      <c r="J16" s="122" t="s">
        <v>49</v>
      </c>
      <c r="L16" s="105"/>
      <c r="M16" s="106"/>
      <c r="N16" s="106"/>
      <c r="O16" s="117"/>
      <c r="P16" s="118"/>
      <c r="W16" s="7"/>
      <c r="X16" s="7"/>
      <c r="Y16" s="7"/>
      <c r="Z16" s="7"/>
    </row>
    <row r="17" spans="2:26" x14ac:dyDescent="0.25">
      <c r="B17" s="119" t="s">
        <v>13</v>
      </c>
      <c r="C17" s="85">
        <f>14510315.64/1000</f>
        <v>14510.315640000001</v>
      </c>
      <c r="D17" s="83">
        <f t="shared" si="0"/>
        <v>4.0821403865218473</v>
      </c>
      <c r="E17" s="82">
        <f t="shared" si="2"/>
        <v>16.663870135272738</v>
      </c>
      <c r="F17" s="85">
        <f>15032279.96/1000</f>
        <v>15032.279960000002</v>
      </c>
      <c r="G17" s="17">
        <f t="shared" si="1"/>
        <v>3.8881537590813289</v>
      </c>
      <c r="H17" s="21">
        <f t="shared" si="4"/>
        <v>15.117739654258269</v>
      </c>
      <c r="J17" s="125" t="s">
        <v>54</v>
      </c>
      <c r="L17" s="105"/>
      <c r="M17" s="106"/>
      <c r="N17" s="106"/>
      <c r="O17" s="117"/>
      <c r="P17" s="118"/>
      <c r="W17" s="101"/>
      <c r="X17" s="58"/>
      <c r="Y17" s="58"/>
      <c r="Z17" s="59"/>
    </row>
    <row r="18" spans="2:26" x14ac:dyDescent="0.25">
      <c r="B18" s="119" t="s">
        <v>14</v>
      </c>
      <c r="C18" s="86">
        <f>11610737.51/1000</f>
        <v>11610.737509999999</v>
      </c>
      <c r="D18" s="83">
        <f t="shared" si="0"/>
        <v>3.2664114057049631</v>
      </c>
      <c r="E18" s="82">
        <f t="shared" si="2"/>
        <v>10.669443471319473</v>
      </c>
      <c r="F18" s="86">
        <f>11972286.01/1000</f>
        <v>11972.28601</v>
      </c>
      <c r="G18" s="17">
        <f t="shared" si="1"/>
        <v>3.0966752201559116</v>
      </c>
      <c r="H18" s="21">
        <f t="shared" si="4"/>
        <v>9.5893974191276641</v>
      </c>
      <c r="J18" s="125"/>
      <c r="L18" s="105"/>
      <c r="M18" s="106"/>
      <c r="N18" s="106"/>
      <c r="O18" s="117"/>
      <c r="P18" s="118"/>
      <c r="W18" s="58"/>
      <c r="X18" s="58"/>
      <c r="Y18" s="59"/>
      <c r="Z18" s="59"/>
    </row>
    <row r="19" spans="2:26" x14ac:dyDescent="0.25">
      <c r="B19" s="119" t="s">
        <v>21</v>
      </c>
      <c r="C19" s="86">
        <f>11597918.87/1000</f>
        <v>11597.91887</v>
      </c>
      <c r="D19" s="83">
        <f t="shared" si="0"/>
        <v>3.2628051789802983</v>
      </c>
      <c r="E19" s="82">
        <f t="shared" si="2"/>
        <v>10.645897635980656</v>
      </c>
      <c r="F19" s="86">
        <f>11672147.55/1000</f>
        <v>11672.147550000002</v>
      </c>
      <c r="G19" s="17">
        <f t="shared" si="1"/>
        <v>3.0190433183686145</v>
      </c>
      <c r="H19" s="21">
        <f t="shared" si="3"/>
        <v>9.1146225581861753</v>
      </c>
      <c r="J19" s="122" t="s">
        <v>50</v>
      </c>
      <c r="L19" s="105"/>
      <c r="M19" s="106"/>
      <c r="N19" s="106"/>
      <c r="O19" s="117"/>
      <c r="P19" s="118"/>
      <c r="W19" s="7"/>
      <c r="X19" s="7"/>
      <c r="Y19" s="7"/>
      <c r="Z19" s="7"/>
    </row>
    <row r="20" spans="2:26" x14ac:dyDescent="0.25">
      <c r="B20" s="119" t="s">
        <v>17</v>
      </c>
      <c r="C20" s="85">
        <f>9388517.58/1000</f>
        <v>9388.5175799999997</v>
      </c>
      <c r="D20" s="83">
        <f t="shared" si="0"/>
        <v>2.6412414267018907</v>
      </c>
      <c r="E20" s="82">
        <f t="shared" si="2"/>
        <v>6.9761562741262386</v>
      </c>
      <c r="F20" s="85">
        <f>10452325.43/1000</f>
        <v>10452.325429999999</v>
      </c>
      <c r="G20" s="17">
        <f t="shared" si="1"/>
        <v>2.7035319006788816</v>
      </c>
      <c r="H20" s="21">
        <f t="shared" ref="H20:H27" si="5">G20^2</f>
        <v>7.3090847379883659</v>
      </c>
      <c r="J20" s="125" t="s">
        <v>55</v>
      </c>
      <c r="L20" s="105"/>
      <c r="M20" s="106"/>
      <c r="N20" s="106"/>
      <c r="O20" s="117"/>
      <c r="P20" s="118"/>
      <c r="W20" s="7"/>
      <c r="X20" s="7"/>
      <c r="Y20" s="7"/>
      <c r="Z20" s="7"/>
    </row>
    <row r="21" spans="2:26" x14ac:dyDescent="0.25">
      <c r="B21" s="119" t="s">
        <v>40</v>
      </c>
      <c r="C21" s="86">
        <f>7592385.64/1000</f>
        <v>7592.3856399999995</v>
      </c>
      <c r="D21" s="83">
        <f t="shared" si="0"/>
        <v>2.1359414102374772</v>
      </c>
      <c r="E21" s="82">
        <f t="shared" ref="E21:E26" si="6">D21^2</f>
        <v>4.5622457079672625</v>
      </c>
      <c r="F21" s="86">
        <f>9401666.74/1000</f>
        <v>9401.6667400000006</v>
      </c>
      <c r="G21" s="17">
        <f t="shared" si="1"/>
        <v>2.4317752179996588</v>
      </c>
      <c r="H21" s="21">
        <f t="shared" si="5"/>
        <v>5.9135307108772883</v>
      </c>
      <c r="L21" s="105"/>
      <c r="M21" s="106"/>
      <c r="N21" s="106"/>
      <c r="O21" s="117"/>
      <c r="P21" s="118"/>
      <c r="W21" s="101"/>
      <c r="X21" s="58"/>
      <c r="Y21" s="58"/>
      <c r="Z21" s="59"/>
    </row>
    <row r="22" spans="2:26" x14ac:dyDescent="0.25">
      <c r="B22" s="119" t="s">
        <v>19</v>
      </c>
      <c r="C22" s="86">
        <f>6456955.11/1000</f>
        <v>6456.9551100000008</v>
      </c>
      <c r="D22" s="83">
        <f t="shared" si="0"/>
        <v>1.8165143944787145</v>
      </c>
      <c r="E22" s="82">
        <f t="shared" si="6"/>
        <v>3.2997245453483708</v>
      </c>
      <c r="F22" s="86">
        <f>9049851.02/1000</f>
        <v>9049.8510200000001</v>
      </c>
      <c r="G22" s="17">
        <f t="shared" si="1"/>
        <v>2.3407768053927991</v>
      </c>
      <c r="H22" s="21">
        <f t="shared" si="5"/>
        <v>5.479236052664918</v>
      </c>
      <c r="L22" s="105"/>
      <c r="M22" s="106"/>
      <c r="N22" s="106"/>
      <c r="O22" s="117"/>
      <c r="P22" s="118"/>
    </row>
    <row r="23" spans="2:26" x14ac:dyDescent="0.25">
      <c r="B23" s="119" t="s">
        <v>15</v>
      </c>
      <c r="C23" s="86">
        <f>7698690.67/1000</f>
        <v>7698.69067</v>
      </c>
      <c r="D23" s="83">
        <f t="shared" si="0"/>
        <v>2.1658478621038415</v>
      </c>
      <c r="E23" s="82">
        <f t="shared" si="6"/>
        <v>4.6908969617797807</v>
      </c>
      <c r="F23" s="86">
        <f>7486091.07/1000</f>
        <v>7486.0910700000004</v>
      </c>
      <c r="G23" s="17">
        <f t="shared" si="1"/>
        <v>1.9363046199310983</v>
      </c>
      <c r="H23" s="21">
        <f t="shared" si="5"/>
        <v>3.7492755811665148</v>
      </c>
      <c r="L23" s="105"/>
      <c r="M23" s="106"/>
      <c r="N23" s="106"/>
      <c r="O23" s="117"/>
      <c r="P23" s="118"/>
      <c r="W23" s="7"/>
      <c r="X23" s="7"/>
      <c r="Y23" s="7"/>
      <c r="Z23" s="7"/>
    </row>
    <row r="24" spans="2:26" x14ac:dyDescent="0.25">
      <c r="B24" s="119" t="s">
        <v>5</v>
      </c>
      <c r="C24" s="85">
        <f>5980076.75999998/1000</f>
        <v>5980.0767599999799</v>
      </c>
      <c r="D24" s="83">
        <f t="shared" si="0"/>
        <v>1.6823557434686263</v>
      </c>
      <c r="E24" s="82">
        <f t="shared" si="6"/>
        <v>2.8303208475818744</v>
      </c>
      <c r="F24" s="85">
        <f>6709549.01000003/1000</f>
        <v>6709.5490100000297</v>
      </c>
      <c r="G24" s="17">
        <f t="shared" si="1"/>
        <v>1.7354491982846241</v>
      </c>
      <c r="H24" s="21">
        <f t="shared" si="5"/>
        <v>3.0117839198267444</v>
      </c>
      <c r="L24" s="105"/>
      <c r="M24" s="106"/>
      <c r="N24" s="106"/>
      <c r="O24" s="117"/>
      <c r="P24" s="118"/>
    </row>
    <row r="25" spans="2:26" x14ac:dyDescent="0.25">
      <c r="B25" s="119" t="s">
        <v>20</v>
      </c>
      <c r="C25" s="86">
        <f>5469068.35/1000</f>
        <v>5469.0683499999996</v>
      </c>
      <c r="D25" s="83">
        <f t="shared" si="0"/>
        <v>1.5385953925522877</v>
      </c>
      <c r="E25" s="82">
        <f t="shared" si="6"/>
        <v>2.3672757819831283</v>
      </c>
      <c r="F25" s="86">
        <f>6425738.42/1000</f>
        <v>6425.7384199999997</v>
      </c>
      <c r="G25" s="17">
        <f t="shared" si="1"/>
        <v>1.6620405593215359</v>
      </c>
      <c r="H25" s="21">
        <f t="shared" si="5"/>
        <v>2.7623788208298441</v>
      </c>
      <c r="L25" s="105"/>
      <c r="M25" s="106"/>
      <c r="N25" s="106"/>
      <c r="O25" s="117"/>
      <c r="P25" s="118"/>
    </row>
    <row r="26" spans="2:26" x14ac:dyDescent="0.25">
      <c r="B26" s="119" t="s">
        <v>27</v>
      </c>
      <c r="C26" s="86">
        <f>4205352.43/1000</f>
        <v>4205.3524299999999</v>
      </c>
      <c r="D26" s="83">
        <f t="shared" si="0"/>
        <v>1.1830782610088548</v>
      </c>
      <c r="E26" s="82">
        <f t="shared" si="6"/>
        <v>1.399674171671736</v>
      </c>
      <c r="F26" s="86">
        <f>5722976.29/1000</f>
        <v>5722.9762899999996</v>
      </c>
      <c r="G26" s="17">
        <f t="shared" si="1"/>
        <v>1.4802685842937704</v>
      </c>
      <c r="H26" s="21">
        <f t="shared" si="5"/>
        <v>2.1911950816470833</v>
      </c>
      <c r="L26" s="118"/>
      <c r="M26" s="118"/>
      <c r="N26" s="118"/>
      <c r="O26" s="117"/>
      <c r="P26" s="118"/>
    </row>
    <row r="27" spans="2:26" x14ac:dyDescent="0.25">
      <c r="B27" s="120" t="s">
        <v>37</v>
      </c>
      <c r="C27" s="104" t="s">
        <v>34</v>
      </c>
      <c r="D27" s="104" t="s">
        <v>34</v>
      </c>
      <c r="E27" s="104" t="s">
        <v>34</v>
      </c>
      <c r="F27" s="86">
        <f>4036154.12/1000</f>
        <v>4036.1541200000001</v>
      </c>
      <c r="G27" s="17">
        <f t="shared" si="1"/>
        <v>1.0439659090748861</v>
      </c>
      <c r="H27" s="21">
        <f t="shared" si="5"/>
        <v>1.0898648193105533</v>
      </c>
      <c r="J27" s="123"/>
    </row>
    <row r="28" spans="2:26" x14ac:dyDescent="0.25">
      <c r="B28" s="119" t="s">
        <v>18</v>
      </c>
      <c r="C28" s="86">
        <f>8027511.97/1000</f>
        <v>8027.5119699999996</v>
      </c>
      <c r="D28" s="83">
        <f>C28/C$33*100</f>
        <v>2.2583540998715694</v>
      </c>
      <c r="E28" s="82">
        <f t="shared" si="2"/>
        <v>5.1001632404067268</v>
      </c>
      <c r="F28" s="86">
        <f>3993386.83/1000</f>
        <v>3993.3868299999999</v>
      </c>
      <c r="G28" s="17">
        <f t="shared" si="1"/>
        <v>1.0329039943273097</v>
      </c>
      <c r="H28" s="21">
        <f t="shared" si="3"/>
        <v>1.066890661497311</v>
      </c>
      <c r="L28" s="105"/>
      <c r="M28" s="106"/>
      <c r="N28" s="106"/>
      <c r="O28" s="117"/>
      <c r="P28" s="118"/>
      <c r="W28" s="7"/>
      <c r="X28" s="7"/>
      <c r="Y28" s="7"/>
      <c r="Z28" s="7"/>
    </row>
    <row r="29" spans="2:26" x14ac:dyDescent="0.25">
      <c r="B29" s="120" t="s">
        <v>38</v>
      </c>
      <c r="C29" s="104" t="s">
        <v>34</v>
      </c>
      <c r="D29" s="104" t="s">
        <v>34</v>
      </c>
      <c r="E29" s="104" t="s">
        <v>34</v>
      </c>
      <c r="F29" s="104">
        <f>2082700/1000</f>
        <v>2082.6999999999998</v>
      </c>
      <c r="G29" s="17">
        <f t="shared" si="1"/>
        <v>0.53869791246481569</v>
      </c>
      <c r="H29" s="21">
        <f>G29^2</f>
        <v>0.29019544089395022</v>
      </c>
      <c r="J29" s="123"/>
    </row>
    <row r="30" spans="2:26" x14ac:dyDescent="0.25">
      <c r="B30" s="119" t="s">
        <v>3</v>
      </c>
      <c r="C30" s="85">
        <f>526049.97/1000</f>
        <v>526.04996999999992</v>
      </c>
      <c r="D30" s="83">
        <f>C30/C$33*100</f>
        <v>0.14799194456845088</v>
      </c>
      <c r="E30" s="82">
        <f t="shared" si="2"/>
        <v>2.190161565715144E-2</v>
      </c>
      <c r="F30" s="85">
        <f>588552.69/1000</f>
        <v>588.55268999999998</v>
      </c>
      <c r="G30" s="17">
        <f t="shared" si="1"/>
        <v>0.15223128894154309</v>
      </c>
      <c r="H30" s="21">
        <f t="shared" si="3"/>
        <v>2.3174365332803579E-2</v>
      </c>
      <c r="L30" s="118"/>
      <c r="M30" s="118"/>
      <c r="N30" s="118"/>
      <c r="O30" s="118"/>
      <c r="P30" s="118"/>
    </row>
    <row r="31" spans="2:26" x14ac:dyDescent="0.25">
      <c r="B31" s="120" t="s">
        <v>39</v>
      </c>
      <c r="C31" s="104" t="s">
        <v>34</v>
      </c>
      <c r="D31" s="104" t="s">
        <v>34</v>
      </c>
      <c r="E31" s="104" t="s">
        <v>34</v>
      </c>
      <c r="F31" s="86">
        <f>394773.52/1000</f>
        <v>394.77352000000002</v>
      </c>
      <c r="G31" s="17">
        <f t="shared" si="1"/>
        <v>0.10210960345723684</v>
      </c>
      <c r="H31" s="21">
        <f>G31^2</f>
        <v>1.0426371118194153E-2</v>
      </c>
      <c r="J31" s="124"/>
    </row>
    <row r="32" spans="2:26" x14ac:dyDescent="0.25">
      <c r="B32" s="119" t="s">
        <v>6</v>
      </c>
      <c r="C32" s="86">
        <f>13767.22/1000</f>
        <v>13.76722</v>
      </c>
      <c r="D32" s="83">
        <f>C32/C$33*100</f>
        <v>3.8730876823387492E-3</v>
      </c>
      <c r="E32" s="82">
        <f>D32^2</f>
        <v>1.5000808195084143E-5</v>
      </c>
      <c r="F32" s="86">
        <f>11281.54/1000</f>
        <v>11.281540000000001</v>
      </c>
      <c r="G32" s="17">
        <f t="shared" si="1"/>
        <v>2.9180112581688759E-3</v>
      </c>
      <c r="H32" s="21">
        <f>G32^2</f>
        <v>8.5147897028003059E-6</v>
      </c>
      <c r="J32" s="122"/>
      <c r="L32" s="118"/>
      <c r="M32" s="118"/>
      <c r="N32" s="118"/>
      <c r="O32" s="118"/>
      <c r="P32" s="118"/>
    </row>
    <row r="33" spans="2:14" ht="16.5" thickBot="1" x14ac:dyDescent="0.3">
      <c r="B33" s="18" t="s">
        <v>2</v>
      </c>
      <c r="C33" s="56">
        <f t="shared" ref="C33:H33" si="7">SUM(C6:C32)</f>
        <v>355458.5160252999</v>
      </c>
      <c r="D33" s="84">
        <f t="shared" si="7"/>
        <v>100</v>
      </c>
      <c r="E33" s="84">
        <f t="shared" si="7"/>
        <v>650.66697227972929</v>
      </c>
      <c r="F33" s="114">
        <f t="shared" si="7"/>
        <v>386617.42542691377</v>
      </c>
      <c r="G33" s="22">
        <f t="shared" si="7"/>
        <v>99.999999999999972</v>
      </c>
      <c r="H33" s="23">
        <f t="shared" si="7"/>
        <v>609.09444795087791</v>
      </c>
    </row>
    <row r="35" spans="2:14" x14ac:dyDescent="0.25">
      <c r="B35" s="5"/>
      <c r="F35" s="32"/>
    </row>
    <row r="36" spans="2:14" x14ac:dyDescent="0.25">
      <c r="B36" s="77"/>
      <c r="C36" s="73" t="s">
        <v>28</v>
      </c>
      <c r="D36" s="145" t="s">
        <v>29</v>
      </c>
      <c r="E36" s="145"/>
      <c r="F36" s="70"/>
      <c r="G36" s="70"/>
      <c r="L36" s="32"/>
    </row>
    <row r="37" spans="2:14" x14ac:dyDescent="0.25">
      <c r="B37" s="78" t="s">
        <v>24</v>
      </c>
      <c r="C37" s="41">
        <f>(D6+D7+D8+D11)/100</f>
        <v>0.39416054278842422</v>
      </c>
      <c r="D37" s="131">
        <f>(G6+G7+G8+G9)/100</f>
        <v>0.37831474291256334</v>
      </c>
      <c r="E37" s="131"/>
      <c r="F37" s="71"/>
      <c r="G37" s="71"/>
    </row>
    <row r="38" spans="2:14" x14ac:dyDescent="0.25">
      <c r="B38" s="78" t="s">
        <v>0</v>
      </c>
      <c r="C38" s="68">
        <f>E33</f>
        <v>650.66697227972929</v>
      </c>
      <c r="D38" s="141">
        <f>H33</f>
        <v>609.09444795087791</v>
      </c>
      <c r="E38" s="141"/>
      <c r="F38" s="72"/>
      <c r="G38" s="72"/>
    </row>
    <row r="40" spans="2:14" x14ac:dyDescent="0.25">
      <c r="F40" s="44"/>
      <c r="L40" s="48"/>
      <c r="M40" s="44"/>
      <c r="N40" s="44"/>
    </row>
    <row r="41" spans="2:14" x14ac:dyDescent="0.25">
      <c r="L41" s="53"/>
    </row>
    <row r="42" spans="2:14" x14ac:dyDescent="0.25">
      <c r="C42" s="6"/>
      <c r="F42" s="7"/>
    </row>
    <row r="43" spans="2:14" x14ac:dyDescent="0.25">
      <c r="C43" s="6"/>
      <c r="F43" s="7"/>
    </row>
    <row r="44" spans="2:14" x14ac:dyDescent="0.25">
      <c r="F44" s="7"/>
    </row>
    <row r="45" spans="2:14" x14ac:dyDescent="0.25">
      <c r="F45" s="7"/>
    </row>
    <row r="46" spans="2:14" x14ac:dyDescent="0.25">
      <c r="F46" s="7"/>
      <c r="I46" s="79"/>
    </row>
    <row r="47" spans="2:14" x14ac:dyDescent="0.25">
      <c r="F47" s="7"/>
      <c r="I47" s="80"/>
    </row>
    <row r="48" spans="2:14" x14ac:dyDescent="0.25">
      <c r="F48" s="8"/>
      <c r="I48" s="81"/>
    </row>
    <row r="49" spans="3:9" x14ac:dyDescent="0.25">
      <c r="I49" s="81"/>
    </row>
    <row r="50" spans="3:9" x14ac:dyDescent="0.25">
      <c r="I50" s="79"/>
    </row>
    <row r="51" spans="3:9" x14ac:dyDescent="0.25">
      <c r="I51" s="81"/>
    </row>
    <row r="52" spans="3:9" x14ac:dyDescent="0.25">
      <c r="I52" s="79"/>
    </row>
    <row r="53" spans="3:9" x14ac:dyDescent="0.25">
      <c r="I53" s="79"/>
    </row>
    <row r="62" spans="3:9" x14ac:dyDescent="0.25">
      <c r="C62" s="52"/>
      <c r="D62" s="7"/>
    </row>
  </sheetData>
  <mergeCells count="7">
    <mergeCell ref="D37:E37"/>
    <mergeCell ref="D38:E38"/>
    <mergeCell ref="B2:H2"/>
    <mergeCell ref="F4:H4"/>
    <mergeCell ref="B4:B5"/>
    <mergeCell ref="C4:E4"/>
    <mergeCell ref="D36:E36"/>
  </mergeCells>
  <phoneticPr fontId="26" type="noConversion"/>
  <pageMargins left="0.39370078740157483" right="0.39370078740157483" top="0.39370078740157483" bottom="0.39370078740157483" header="0.19685039370078741" footer="0.19685039370078741"/>
  <pageSetup paperSize="9" scale="60" orientation="landscape" horizontalDpi="4294967293" r:id="rId1"/>
  <headerFooter>
    <oddHeader>&amp;LAgencija za osiguranje u BiH&amp;CStatistika tržišta osiguranja&amp;RKvartalno izvješće</oddHeader>
    <oddFooter>&amp;CU izvješće su uključeni podatci zaključno s 30.09.2016. godine.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L48"/>
  <sheetViews>
    <sheetView showGridLines="0" showRuler="0" view="pageLayout" zoomScaleNormal="100" workbookViewId="0">
      <selection activeCell="B2" sqref="B2:H2"/>
    </sheetView>
  </sheetViews>
  <sheetFormatPr defaultColWidth="10.42578125" defaultRowHeight="15.75" x14ac:dyDescent="0.25"/>
  <cols>
    <col min="1" max="1" width="3.5703125" style="4" customWidth="1"/>
    <col min="2" max="2" width="33.7109375" style="4" customWidth="1"/>
    <col min="3" max="3" width="16.7109375" style="4" customWidth="1"/>
    <col min="4" max="4" width="7.85546875" style="4" customWidth="1"/>
    <col min="5" max="5" width="7.5703125" style="4" customWidth="1"/>
    <col min="6" max="6" width="16.7109375" style="4" customWidth="1"/>
    <col min="7" max="7" width="7.85546875" style="4" customWidth="1"/>
    <col min="8" max="8" width="7.5703125" style="4" customWidth="1"/>
    <col min="9" max="9" width="9.140625" style="4" customWidth="1"/>
    <col min="10" max="16384" width="10.42578125" style="4"/>
  </cols>
  <sheetData>
    <row r="2" spans="2:10" x14ac:dyDescent="0.25">
      <c r="B2" s="142" t="s">
        <v>33</v>
      </c>
      <c r="C2" s="143"/>
      <c r="D2" s="143"/>
      <c r="E2" s="143"/>
      <c r="F2" s="143"/>
      <c r="G2" s="143"/>
      <c r="H2" s="144"/>
    </row>
    <row r="3" spans="2:10" ht="16.5" thickBot="1" x14ac:dyDescent="0.3">
      <c r="B3" s="36"/>
    </row>
    <row r="4" spans="2:10" x14ac:dyDescent="0.25">
      <c r="B4" s="138" t="s">
        <v>47</v>
      </c>
      <c r="C4" s="136" t="s">
        <v>28</v>
      </c>
      <c r="D4" s="136"/>
      <c r="E4" s="136"/>
      <c r="F4" s="136" t="s">
        <v>29</v>
      </c>
      <c r="G4" s="136"/>
      <c r="H4" s="137"/>
    </row>
    <row r="5" spans="2:10" ht="42" customHeight="1" x14ac:dyDescent="0.25">
      <c r="B5" s="139"/>
      <c r="C5" s="12" t="s">
        <v>45</v>
      </c>
      <c r="D5" s="12" t="s">
        <v>1</v>
      </c>
      <c r="E5" s="13" t="s">
        <v>0</v>
      </c>
      <c r="F5" s="12" t="s">
        <v>45</v>
      </c>
      <c r="G5" s="12" t="s">
        <v>1</v>
      </c>
      <c r="H5" s="14" t="s">
        <v>0</v>
      </c>
    </row>
    <row r="6" spans="2:10" x14ac:dyDescent="0.25">
      <c r="B6" s="45" t="s">
        <v>4</v>
      </c>
      <c r="C6" s="89">
        <f>'HHI - Životno'!C6+'HHI - Neživotno'!C13</f>
        <v>38470.236689999998</v>
      </c>
      <c r="D6" s="87">
        <f t="shared" ref="D6:D28" si="0">C6/C$33*100</f>
        <v>8.657056098548404</v>
      </c>
      <c r="E6" s="88">
        <f t="shared" ref="E6:E28" si="1">D6^2</f>
        <v>74.944620293414118</v>
      </c>
      <c r="F6" s="89">
        <f>'HHI - Životno'!F6+'HHI - Neživotno'!F13</f>
        <v>43218.325510000002</v>
      </c>
      <c r="G6" s="87">
        <f t="shared" ref="G6:G32" si="2">F6/F$33*100</f>
        <v>9.0133723088878632</v>
      </c>
      <c r="H6" s="90">
        <f t="shared" ref="H6:H27" si="3">G6^2</f>
        <v>81.240880378626528</v>
      </c>
      <c r="J6" s="33" t="s">
        <v>43</v>
      </c>
    </row>
    <row r="7" spans="2:10" x14ac:dyDescent="0.25">
      <c r="B7" s="45" t="s">
        <v>26</v>
      </c>
      <c r="C7" s="89">
        <f>'HHI - Životno'!C14+'HHI - Neživotno'!C7</f>
        <v>45910.239840000002</v>
      </c>
      <c r="D7" s="87">
        <f t="shared" si="0"/>
        <v>10.331299102612617</v>
      </c>
      <c r="E7" s="88">
        <f>D7^2</f>
        <v>106.73574114764426</v>
      </c>
      <c r="F7" s="89">
        <f>'HHI - Životno'!F14+'HHI - Neživotno'!F7</f>
        <v>42782.535045899996</v>
      </c>
      <c r="G7" s="87">
        <f t="shared" si="2"/>
        <v>8.9224862864600052</v>
      </c>
      <c r="H7" s="90">
        <f>G7^2</f>
        <v>79.61076153206686</v>
      </c>
    </row>
    <row r="8" spans="2:10" x14ac:dyDescent="0.25">
      <c r="B8" s="45" t="s">
        <v>10</v>
      </c>
      <c r="C8" s="89">
        <f>'HHI - Neživotno'!C6</f>
        <v>40725.993835299996</v>
      </c>
      <c r="D8" s="87">
        <f t="shared" si="0"/>
        <v>9.1646749184929064</v>
      </c>
      <c r="E8" s="88">
        <f>D8^2</f>
        <v>83.991266361652961</v>
      </c>
      <c r="F8" s="89">
        <f>'HHI - Neživotno'!F6</f>
        <v>41272.43651</v>
      </c>
      <c r="G8" s="87">
        <f t="shared" si="2"/>
        <v>8.6075485796757896</v>
      </c>
      <c r="H8" s="90">
        <f>G8^2</f>
        <v>74.089892551478698</v>
      </c>
      <c r="J8" s="33" t="s">
        <v>44</v>
      </c>
    </row>
    <row r="9" spans="2:10" x14ac:dyDescent="0.25">
      <c r="B9" s="45" t="s">
        <v>25</v>
      </c>
      <c r="C9" s="89">
        <f>'HHI - Životno'!C12+'HHI - Neživotno'!C8</f>
        <v>35503.156440000006</v>
      </c>
      <c r="D9" s="87">
        <f t="shared" si="0"/>
        <v>7.9893664146993348</v>
      </c>
      <c r="E9" s="88">
        <f t="shared" si="1"/>
        <v>63.829975708325705</v>
      </c>
      <c r="F9" s="89">
        <f>'HHI - Životno'!F12+'HHI - Neživotno'!F8</f>
        <v>37725.619010000002</v>
      </c>
      <c r="G9" s="87">
        <f t="shared" si="2"/>
        <v>7.8678441542513982</v>
      </c>
      <c r="H9" s="90">
        <f t="shared" si="3"/>
        <v>61.902971635587896</v>
      </c>
    </row>
    <row r="10" spans="2:10" x14ac:dyDescent="0.25">
      <c r="B10" s="45" t="s">
        <v>7</v>
      </c>
      <c r="C10" s="89">
        <f>'HHI - Životno'!C11+'HHI - Neživotno'!C9</f>
        <v>27385.72625</v>
      </c>
      <c r="D10" s="91">
        <f t="shared" si="0"/>
        <v>6.1626802651663031</v>
      </c>
      <c r="E10" s="88">
        <f>D10^2</f>
        <v>37.978628050670217</v>
      </c>
      <c r="F10" s="89">
        <f>'HHI - Životno'!F11+'HHI - Neživotno'!F9</f>
        <v>35623.439149999998</v>
      </c>
      <c r="G10" s="92">
        <f t="shared" si="2"/>
        <v>7.4294252771932943</v>
      </c>
      <c r="H10" s="90">
        <f>G10^2</f>
        <v>55.196359949398655</v>
      </c>
      <c r="J10" s="122" t="s">
        <v>52</v>
      </c>
    </row>
    <row r="11" spans="2:10" x14ac:dyDescent="0.25">
      <c r="B11" s="45" t="s">
        <v>8</v>
      </c>
      <c r="C11" s="89">
        <f>'HHI - Životno'!C10+'HHI - Neživotno'!C10</f>
        <v>28163.378239999998</v>
      </c>
      <c r="D11" s="91">
        <f t="shared" si="0"/>
        <v>6.3376772883670398</v>
      </c>
      <c r="E11" s="88">
        <f>D11^2</f>
        <v>40.166153411483393</v>
      </c>
      <c r="F11" s="89">
        <f>'HHI - Životno'!F10+'HHI - Neživotno'!F10</f>
        <v>31067.465769999973</v>
      </c>
      <c r="G11" s="92">
        <f t="shared" si="2"/>
        <v>6.4792569442295198</v>
      </c>
      <c r="H11" s="90">
        <f>G11^2</f>
        <v>41.980770549346452</v>
      </c>
      <c r="J11" s="122" t="s">
        <v>46</v>
      </c>
    </row>
    <row r="12" spans="2:10" x14ac:dyDescent="0.25">
      <c r="B12" s="54" t="s">
        <v>35</v>
      </c>
      <c r="C12" s="89">
        <f>'HHI - Životno'!C13+'HHI - Neživotno'!C11</f>
        <v>26016.933440000001</v>
      </c>
      <c r="D12" s="91">
        <f t="shared" si="0"/>
        <v>5.8546573060421672</v>
      </c>
      <c r="E12" s="88">
        <f>D12^2</f>
        <v>34.277012171192929</v>
      </c>
      <c r="F12" s="89">
        <f>'HHI - Životno'!F13+'HHI - Neživotno'!F11</f>
        <v>25152.302199999998</v>
      </c>
      <c r="G12" s="92">
        <f t="shared" si="2"/>
        <v>5.2456235052837261</v>
      </c>
      <c r="H12" s="90">
        <f>G12^2</f>
        <v>27.516565959185126</v>
      </c>
    </row>
    <row r="13" spans="2:10" x14ac:dyDescent="0.25">
      <c r="B13" s="45" t="s">
        <v>5</v>
      </c>
      <c r="C13" s="89">
        <f>'HHI - Životno'!C8+'HHI - Neživotno'!C24</f>
        <v>21918.220179999982</v>
      </c>
      <c r="D13" s="91">
        <f t="shared" si="0"/>
        <v>4.932313341547979</v>
      </c>
      <c r="E13" s="88">
        <f>D13^2</f>
        <v>24.327714899212189</v>
      </c>
      <c r="F13" s="89">
        <f>'HHI - Životno'!F8+'HHI - Neživotno'!F24</f>
        <v>23738.909600000028</v>
      </c>
      <c r="G13" s="92">
        <f t="shared" si="2"/>
        <v>4.9508542477501578</v>
      </c>
      <c r="H13" s="90">
        <f>G13^2</f>
        <v>24.51095778246578</v>
      </c>
      <c r="J13" s="122" t="s">
        <v>48</v>
      </c>
    </row>
    <row r="14" spans="2:10" x14ac:dyDescent="0.25">
      <c r="B14" s="45" t="s">
        <v>3</v>
      </c>
      <c r="C14" s="89">
        <f>'HHI - Životno'!C7+'HHI - Neživotno'!C30</f>
        <v>21506.038820000002</v>
      </c>
      <c r="D14" s="91">
        <f t="shared" si="0"/>
        <v>4.8395591122187023</v>
      </c>
      <c r="E14" s="88">
        <f t="shared" si="1"/>
        <v>23.421332400659075</v>
      </c>
      <c r="F14" s="89">
        <f>'HHI - Životno'!F7+'HHI - Neživotno'!F30</f>
        <v>20394.481400000197</v>
      </c>
      <c r="G14" s="92">
        <f t="shared" si="2"/>
        <v>4.253359003054312</v>
      </c>
      <c r="H14" s="90">
        <f t="shared" si="3"/>
        <v>18.091062808863171</v>
      </c>
      <c r="J14" s="122" t="s">
        <v>53</v>
      </c>
    </row>
    <row r="15" spans="2:10" x14ac:dyDescent="0.25">
      <c r="B15" s="45" t="s">
        <v>11</v>
      </c>
      <c r="C15" s="89">
        <f>'HHI - Neživotno'!C12</f>
        <v>17660.621210000001</v>
      </c>
      <c r="D15" s="91">
        <f t="shared" si="0"/>
        <v>3.9742149179426796</v>
      </c>
      <c r="E15" s="88">
        <f t="shared" si="1"/>
        <v>15.794384213998139</v>
      </c>
      <c r="F15" s="89">
        <f>'HHI - Neživotno'!F12</f>
        <v>19602.613370000003</v>
      </c>
      <c r="G15" s="92">
        <f t="shared" si="2"/>
        <v>4.0882114345247116</v>
      </c>
      <c r="H15" s="90">
        <f t="shared" si="3"/>
        <v>16.713472733378602</v>
      </c>
    </row>
    <row r="16" spans="2:10" x14ac:dyDescent="0.25">
      <c r="B16" s="45" t="s">
        <v>12</v>
      </c>
      <c r="C16" s="89">
        <f>'HHI - Neživotno'!C14</f>
        <v>17384.67396</v>
      </c>
      <c r="D16" s="91">
        <f t="shared" si="0"/>
        <v>3.912117800039812</v>
      </c>
      <c r="E16" s="88">
        <f t="shared" si="1"/>
        <v>15.304665681388339</v>
      </c>
      <c r="F16" s="89">
        <f>'HHI - Neživotno'!F14</f>
        <v>18863.668730000001</v>
      </c>
      <c r="G16" s="91">
        <f t="shared" si="2"/>
        <v>3.934101272287259</v>
      </c>
      <c r="H16" s="90">
        <f>G16^2</f>
        <v>15.477152820612231</v>
      </c>
      <c r="J16" s="122" t="s">
        <v>49</v>
      </c>
    </row>
    <row r="17" spans="2:10" x14ac:dyDescent="0.25">
      <c r="B17" s="46" t="s">
        <v>9</v>
      </c>
      <c r="C17" s="89">
        <f>'HHI - Životno'!C15+'HHI - Neživotno'!C15</f>
        <v>13862.44023</v>
      </c>
      <c r="D17" s="91">
        <f t="shared" si="0"/>
        <v>3.1195005037512353</v>
      </c>
      <c r="E17" s="88">
        <f>D17^2</f>
        <v>9.7312833929042117</v>
      </c>
      <c r="F17" s="89">
        <f>'HHI - Životno'!F15+'HHI - Neživotno'!F15</f>
        <v>16341.677510000001</v>
      </c>
      <c r="G17" s="91">
        <f t="shared" si="2"/>
        <v>3.4081288854036766</v>
      </c>
      <c r="H17" s="90">
        <f>G17^2</f>
        <v>11.615342499522907</v>
      </c>
      <c r="J17" s="125" t="s">
        <v>54</v>
      </c>
    </row>
    <row r="18" spans="2:10" x14ac:dyDescent="0.25">
      <c r="B18" s="45" t="s">
        <v>16</v>
      </c>
      <c r="C18" s="89">
        <f>'HHI - Neživotno'!C16</f>
        <v>12873.030839999999</v>
      </c>
      <c r="D18" s="91">
        <f t="shared" si="0"/>
        <v>2.8968511693402759</v>
      </c>
      <c r="E18" s="88">
        <f>D18^2</f>
        <v>8.3917466973081236</v>
      </c>
      <c r="F18" s="89">
        <f>'HHI - Neživotno'!F16</f>
        <v>15102.715731013701</v>
      </c>
      <c r="G18" s="91">
        <f t="shared" si="2"/>
        <v>3.1497379445537899</v>
      </c>
      <c r="H18" s="90">
        <f>G18^2</f>
        <v>9.9208491193619324</v>
      </c>
      <c r="J18" s="125"/>
    </row>
    <row r="19" spans="2:10" x14ac:dyDescent="0.25">
      <c r="B19" s="45" t="s">
        <v>13</v>
      </c>
      <c r="C19" s="89">
        <f>'HHI - Neživotno'!C17</f>
        <v>14510.315640000001</v>
      </c>
      <c r="D19" s="91">
        <f t="shared" si="0"/>
        <v>3.2652935700751029</v>
      </c>
      <c r="E19" s="88">
        <f t="shared" si="1"/>
        <v>10.662142098773812</v>
      </c>
      <c r="F19" s="89">
        <f>'HHI - Neživotno'!F17</f>
        <v>15032.279960000002</v>
      </c>
      <c r="G19" s="91">
        <f t="shared" si="2"/>
        <v>3.1350482539996483</v>
      </c>
      <c r="H19" s="90">
        <f>G19^2</f>
        <v>9.828527554906243</v>
      </c>
      <c r="J19" s="122" t="s">
        <v>51</v>
      </c>
    </row>
    <row r="20" spans="2:10" x14ac:dyDescent="0.25">
      <c r="B20" s="45" t="s">
        <v>14</v>
      </c>
      <c r="C20" s="89">
        <f>'HHI - Neživotno'!C18</f>
        <v>11610.737509999999</v>
      </c>
      <c r="D20" s="91">
        <f t="shared" si="0"/>
        <v>2.6127940615379202</v>
      </c>
      <c r="E20" s="88">
        <f t="shared" si="1"/>
        <v>6.8266928080078211</v>
      </c>
      <c r="F20" s="89">
        <f>'HHI - Neživotno'!F18</f>
        <v>11972.28601</v>
      </c>
      <c r="G20" s="91">
        <f t="shared" si="2"/>
        <v>2.4968730260419467</v>
      </c>
      <c r="H20" s="90">
        <f>G20^2</f>
        <v>6.2343749081758677</v>
      </c>
      <c r="J20" s="125" t="s">
        <v>55</v>
      </c>
    </row>
    <row r="21" spans="2:10" x14ac:dyDescent="0.25">
      <c r="B21" s="45" t="s">
        <v>21</v>
      </c>
      <c r="C21" s="89">
        <f>'HHI - Neživotno'!C19</f>
        <v>11597.91887</v>
      </c>
      <c r="D21" s="91">
        <f t="shared" si="0"/>
        <v>2.6099094500789026</v>
      </c>
      <c r="E21" s="88">
        <f t="shared" si="1"/>
        <v>6.81162733761116</v>
      </c>
      <c r="F21" s="89">
        <f>'HHI - Neživotno'!F19</f>
        <v>11672.147550000002</v>
      </c>
      <c r="G21" s="91">
        <f t="shared" si="2"/>
        <v>2.4342778270777878</v>
      </c>
      <c r="H21" s="90">
        <f t="shared" si="3"/>
        <v>5.9257085394025566</v>
      </c>
    </row>
    <row r="22" spans="2:10" x14ac:dyDescent="0.25">
      <c r="B22" s="45" t="s">
        <v>6</v>
      </c>
      <c r="C22" s="89">
        <f>'HHI - Životno'!C9+'HHI - Neživotno'!C32</f>
        <v>10441.981</v>
      </c>
      <c r="D22" s="91">
        <f t="shared" si="0"/>
        <v>2.3497857844080912</v>
      </c>
      <c r="E22" s="88">
        <f t="shared" si="1"/>
        <v>5.5214932326063479</v>
      </c>
      <c r="F22" s="89">
        <f>'HHI - Životno'!F9+'HHI - Neživotno'!F32</f>
        <v>10882.616479999999</v>
      </c>
      <c r="G22" s="91">
        <f t="shared" si="2"/>
        <v>2.269617641858487</v>
      </c>
      <c r="H22" s="90">
        <f t="shared" si="3"/>
        <v>5.1511642402352793</v>
      </c>
    </row>
    <row r="23" spans="2:10" x14ac:dyDescent="0.25">
      <c r="B23" s="45" t="s">
        <v>17</v>
      </c>
      <c r="C23" s="89">
        <f>'HHI - Neživotno'!C20</f>
        <v>9388.5175799999997</v>
      </c>
      <c r="D23" s="91">
        <f t="shared" si="0"/>
        <v>2.1127222072276757</v>
      </c>
      <c r="E23" s="88">
        <f t="shared" si="1"/>
        <v>4.4635951249129819</v>
      </c>
      <c r="F23" s="89">
        <f>'HHI - Neživotno'!F20</f>
        <v>10452.325429999999</v>
      </c>
      <c r="G23" s="91">
        <f t="shared" si="2"/>
        <v>2.1798785464848156</v>
      </c>
      <c r="H23" s="90">
        <f>G23^2</f>
        <v>4.7518704774247524</v>
      </c>
    </row>
    <row r="24" spans="2:10" x14ac:dyDescent="0.25">
      <c r="B24" s="45" t="s">
        <v>36</v>
      </c>
      <c r="C24" s="89">
        <f>'HHI - Neživotno'!C21</f>
        <v>7592.3856399999995</v>
      </c>
      <c r="D24" s="91">
        <f t="shared" si="0"/>
        <v>1.708534026887822</v>
      </c>
      <c r="E24" s="88">
        <f>D24^2</f>
        <v>2.9190885210335167</v>
      </c>
      <c r="F24" s="89">
        <f>'HHI - Neživotno'!F21</f>
        <v>9401.6667400000006</v>
      </c>
      <c r="G24" s="91">
        <f t="shared" si="2"/>
        <v>1.9607590449588437</v>
      </c>
      <c r="H24" s="90">
        <f>G24^2</f>
        <v>3.8445760323879168</v>
      </c>
    </row>
    <row r="25" spans="2:10" x14ac:dyDescent="0.25">
      <c r="B25" s="45" t="s">
        <v>19</v>
      </c>
      <c r="C25" s="89">
        <f>'HHI - Neživotno'!C22</f>
        <v>6456.9551100000008</v>
      </c>
      <c r="D25" s="91">
        <f t="shared" si="0"/>
        <v>1.4530251805705434</v>
      </c>
      <c r="E25" s="88">
        <f t="shared" si="1"/>
        <v>2.1112821753720601</v>
      </c>
      <c r="F25" s="89">
        <f>'HHI - Neživotno'!F22</f>
        <v>9049.8510200000001</v>
      </c>
      <c r="G25" s="91">
        <f t="shared" si="2"/>
        <v>1.8873863256075187</v>
      </c>
      <c r="H25" s="90">
        <f t="shared" si="3"/>
        <v>3.5622271420902507</v>
      </c>
    </row>
    <row r="26" spans="2:10" x14ac:dyDescent="0.25">
      <c r="B26" s="47" t="s">
        <v>15</v>
      </c>
      <c r="C26" s="89">
        <f>'HHI - Neživotno'!C23</f>
        <v>7698.69067</v>
      </c>
      <c r="D26" s="91">
        <f t="shared" si="0"/>
        <v>1.7324561206270344</v>
      </c>
      <c r="E26" s="88">
        <f>D26^2</f>
        <v>3.0014042098980735</v>
      </c>
      <c r="F26" s="89">
        <f>'HHI - Neživotno'!F23</f>
        <v>7486.0910700000004</v>
      </c>
      <c r="G26" s="91">
        <f t="shared" si="2"/>
        <v>1.5612572943516321</v>
      </c>
      <c r="H26" s="90">
        <f>G26^2</f>
        <v>2.4375243391661785</v>
      </c>
    </row>
    <row r="27" spans="2:10" x14ac:dyDescent="0.25">
      <c r="B27" s="45" t="s">
        <v>20</v>
      </c>
      <c r="C27" s="89">
        <f>'HHI - Neživotno'!C25</f>
        <v>5469.0683499999996</v>
      </c>
      <c r="D27" s="91">
        <f t="shared" si="0"/>
        <v>1.2307184874964063</v>
      </c>
      <c r="E27" s="88">
        <f t="shared" si="1"/>
        <v>1.5146679954654421</v>
      </c>
      <c r="F27" s="89">
        <f>'HHI - Neživotno'!F25</f>
        <v>6425.7384199999997</v>
      </c>
      <c r="G27" s="91">
        <f t="shared" si="2"/>
        <v>1.3401160747327816</v>
      </c>
      <c r="H27" s="90">
        <f t="shared" si="3"/>
        <v>1.7959110937571983</v>
      </c>
      <c r="J27" s="126"/>
    </row>
    <row r="28" spans="2:10" x14ac:dyDescent="0.25">
      <c r="B28" s="55" t="s">
        <v>27</v>
      </c>
      <c r="C28" s="93">
        <f>'HHI - Neživotno'!C26</f>
        <v>4205.3524299999999</v>
      </c>
      <c r="D28" s="91">
        <f t="shared" si="0"/>
        <v>0.94634125061518692</v>
      </c>
      <c r="E28" s="88">
        <f t="shared" si="1"/>
        <v>0.89556176261591602</v>
      </c>
      <c r="F28" s="93">
        <f>'HHI - Neživotno'!F26</f>
        <v>5722.9762899999996</v>
      </c>
      <c r="G28" s="91">
        <f t="shared" si="2"/>
        <v>1.1935519344629</v>
      </c>
      <c r="H28" s="90">
        <f>G28^2</f>
        <v>1.4245662202601306</v>
      </c>
    </row>
    <row r="29" spans="2:10" x14ac:dyDescent="0.25">
      <c r="B29" s="120" t="s">
        <v>37</v>
      </c>
      <c r="C29" s="104" t="s">
        <v>34</v>
      </c>
      <c r="D29" s="104" t="s">
        <v>34</v>
      </c>
      <c r="E29" s="104" t="s">
        <v>34</v>
      </c>
      <c r="F29" s="86">
        <f>'HHI - Neživotno'!F27</f>
        <v>4036.1541200000001</v>
      </c>
      <c r="G29" s="91">
        <f t="shared" si="2"/>
        <v>0.84175773471820614</v>
      </c>
      <c r="H29" s="90">
        <f t="shared" ref="H29:H32" si="4">G29^2</f>
        <v>0.70855608395792591</v>
      </c>
    </row>
    <row r="30" spans="2:10" x14ac:dyDescent="0.25">
      <c r="B30" s="121" t="s">
        <v>18</v>
      </c>
      <c r="C30" s="89">
        <f>'HHI - Neživotno'!C28</f>
        <v>8027.5119699999996</v>
      </c>
      <c r="D30" s="91">
        <f>C30/C$33*100</f>
        <v>1.806451621705861</v>
      </c>
      <c r="E30" s="88">
        <f>D30^2</f>
        <v>3.2632674615637352</v>
      </c>
      <c r="F30" s="89">
        <f>'HHI - Neživotno'!F28</f>
        <v>3993.3868299999999</v>
      </c>
      <c r="G30" s="91">
        <f t="shared" si="2"/>
        <v>0.83283842785327489</v>
      </c>
      <c r="H30" s="90">
        <f>G30^2</f>
        <v>0.6936198469091146</v>
      </c>
    </row>
    <row r="31" spans="2:10" x14ac:dyDescent="0.25">
      <c r="B31" s="120" t="s">
        <v>38</v>
      </c>
      <c r="C31" s="104" t="s">
        <v>34</v>
      </c>
      <c r="D31" s="104" t="s">
        <v>34</v>
      </c>
      <c r="E31" s="104" t="s">
        <v>34</v>
      </c>
      <c r="F31" s="104">
        <f>'HHI - Neživotno'!F29</f>
        <v>2082.6999999999998</v>
      </c>
      <c r="G31" s="91">
        <f t="shared" si="2"/>
        <v>0.43435626638003799</v>
      </c>
      <c r="H31" s="90">
        <f>G31^2</f>
        <v>0.18866536614360652</v>
      </c>
    </row>
    <row r="32" spans="2:10" x14ac:dyDescent="0.25">
      <c r="B32" s="120" t="s">
        <v>39</v>
      </c>
      <c r="C32" s="104" t="s">
        <v>34</v>
      </c>
      <c r="D32" s="104" t="s">
        <v>34</v>
      </c>
      <c r="E32" s="104" t="s">
        <v>34</v>
      </c>
      <c r="F32" s="86">
        <f>'HHI - Neživotno'!F31</f>
        <v>394.77352000000002</v>
      </c>
      <c r="G32" s="91">
        <f t="shared" si="2"/>
        <v>8.2331757916601175E-2</v>
      </c>
      <c r="H32" s="90">
        <f t="shared" si="4"/>
        <v>6.7785183616378203E-3</v>
      </c>
    </row>
    <row r="33" spans="2:12" ht="16.5" thickBot="1" x14ac:dyDescent="0.3">
      <c r="B33" s="11" t="s">
        <v>2</v>
      </c>
      <c r="C33" s="94">
        <f t="shared" ref="C33:H33" si="5">SUM(C6:C32)</f>
        <v>444380.12474529998</v>
      </c>
      <c r="D33" s="95">
        <f t="shared" si="5"/>
        <v>100.00000000000001</v>
      </c>
      <c r="E33" s="95">
        <f t="shared" si="5"/>
        <v>586.88534715771425</v>
      </c>
      <c r="F33" s="94">
        <f t="shared" si="5"/>
        <v>479491.18297691399</v>
      </c>
      <c r="G33" s="95">
        <f t="shared" si="5"/>
        <v>100</v>
      </c>
      <c r="H33" s="96">
        <f t="shared" si="5"/>
        <v>564.42111068307327</v>
      </c>
    </row>
    <row r="35" spans="2:12" x14ac:dyDescent="0.25">
      <c r="B35" s="5"/>
      <c r="F35" s="35"/>
    </row>
    <row r="36" spans="2:12" x14ac:dyDescent="0.25">
      <c r="B36" s="67"/>
      <c r="C36" s="74" t="s">
        <v>28</v>
      </c>
      <c r="D36" s="146" t="s">
        <v>29</v>
      </c>
      <c r="E36" s="146"/>
      <c r="F36" s="66"/>
      <c r="G36" s="66"/>
      <c r="L36" s="34"/>
    </row>
    <row r="37" spans="2:12" x14ac:dyDescent="0.25">
      <c r="B37" s="60" t="s">
        <v>24</v>
      </c>
      <c r="C37" s="41">
        <f>SUM(D6:D9)/100</f>
        <v>0.3614239653435326</v>
      </c>
      <c r="D37" s="131">
        <f>SUM(G6:G9)/100</f>
        <v>0.34411251329275055</v>
      </c>
      <c r="E37" s="131"/>
      <c r="F37" s="71"/>
      <c r="G37" s="71"/>
    </row>
    <row r="38" spans="2:12" x14ac:dyDescent="0.25">
      <c r="B38" s="60" t="s">
        <v>0</v>
      </c>
      <c r="C38" s="75">
        <f>E33</f>
        <v>586.88534715771425</v>
      </c>
      <c r="D38" s="141">
        <f>H33</f>
        <v>564.42111068307327</v>
      </c>
      <c r="E38" s="141"/>
      <c r="F38" s="72"/>
      <c r="G38" s="72"/>
    </row>
    <row r="41" spans="2:12" x14ac:dyDescent="0.25">
      <c r="L41" s="48"/>
    </row>
    <row r="42" spans="2:12" x14ac:dyDescent="0.25">
      <c r="L42" s="48"/>
    </row>
    <row r="43" spans="2:12" x14ac:dyDescent="0.25">
      <c r="L43" s="37"/>
    </row>
    <row r="48" spans="2:12" x14ac:dyDescent="0.25">
      <c r="I48" s="6"/>
    </row>
  </sheetData>
  <mergeCells count="7">
    <mergeCell ref="D37:E37"/>
    <mergeCell ref="D38:E38"/>
    <mergeCell ref="B2:H2"/>
    <mergeCell ref="F4:H4"/>
    <mergeCell ref="B4:B5"/>
    <mergeCell ref="C4:E4"/>
    <mergeCell ref="D36:E36"/>
  </mergeCells>
  <phoneticPr fontId="26" type="noConversion"/>
  <pageMargins left="0.39370078740157483" right="0.39370078740157483" top="0.39370078740157483" bottom="0.39370078740157483" header="0.19685039370078741" footer="0.19685039370078741"/>
  <pageSetup paperSize="9" scale="58" orientation="landscape" horizontalDpi="4294967293" r:id="rId1"/>
  <headerFooter>
    <oddHeader>&amp;LAgencija za osiguranje u BiH&amp;CStatistika tržišta osiguranja&amp;RKvartalno izvješće</oddHeader>
    <oddFooter>&amp;CU izvješće su uključeni podatci zaključno s 30.09.2016. godine.</oddFooter>
  </headerFooter>
  <ignoredErrors>
    <ignoredError sqref="F33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Udio</vt:lpstr>
      <vt:lpstr>HHI - Životno</vt:lpstr>
      <vt:lpstr>HHI - Neživotno</vt:lpstr>
      <vt:lpstr>HHI - Ukupno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Muamer</cp:lastModifiedBy>
  <cp:lastPrinted>2017-03-07T14:02:08Z</cp:lastPrinted>
  <dcterms:created xsi:type="dcterms:W3CDTF">2011-07-19T10:02:04Z</dcterms:created>
  <dcterms:modified xsi:type="dcterms:W3CDTF">2020-02-24T13:34:24Z</dcterms:modified>
</cp:coreProperties>
</file>