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-60" windowWidth="18720" windowHeight="5310" tabRatio="559"/>
  </bookViews>
  <sheets>
    <sheet name="Udio" sheetId="4" r:id="rId1"/>
    <sheet name="HHI - Životno" sheetId="5" r:id="rId2"/>
    <sheet name="HHI - Neživotno" sheetId="6" r:id="rId3"/>
    <sheet name="HHI - Ukupno" sheetId="7" r:id="rId4"/>
  </sheets>
  <calcPr calcId="145621"/>
</workbook>
</file>

<file path=xl/calcChain.xml><?xml version="1.0" encoding="utf-8"?>
<calcChain xmlns="http://schemas.openxmlformats.org/spreadsheetml/2006/main">
  <c r="C7" i="4" l="1"/>
  <c r="C6" i="4"/>
  <c r="D7" i="4"/>
  <c r="D6" i="4"/>
  <c r="C11" i="7" l="1"/>
  <c r="F11" i="7"/>
  <c r="C11" i="6"/>
  <c r="F11" i="6"/>
  <c r="D20" i="5"/>
  <c r="C20" i="5"/>
  <c r="F22" i="6" l="1"/>
  <c r="F30" i="6"/>
  <c r="F28" i="6"/>
  <c r="F23" i="6"/>
  <c r="F26" i="6"/>
  <c r="F24" i="6"/>
  <c r="F27" i="6"/>
  <c r="F21" i="6"/>
  <c r="F19" i="6"/>
  <c r="F18" i="6"/>
  <c r="F15" i="6"/>
  <c r="F13" i="6"/>
  <c r="C30" i="6"/>
  <c r="C23" i="6"/>
  <c r="C26" i="6"/>
  <c r="C24" i="6"/>
  <c r="C27" i="6"/>
  <c r="C22" i="6"/>
  <c r="C21" i="6"/>
  <c r="C19" i="6"/>
  <c r="C18" i="6"/>
  <c r="C15" i="6"/>
  <c r="C13" i="6"/>
  <c r="F15" i="5"/>
  <c r="F14" i="5"/>
  <c r="F13" i="5"/>
  <c r="F12" i="5"/>
  <c r="F11" i="5"/>
  <c r="F10" i="5"/>
  <c r="F8" i="5"/>
  <c r="F9" i="5"/>
  <c r="F7" i="5"/>
  <c r="F6" i="5"/>
  <c r="C15" i="5"/>
  <c r="C14" i="5"/>
  <c r="C13" i="5"/>
  <c r="C12" i="5"/>
  <c r="C11" i="5"/>
  <c r="C10" i="5"/>
  <c r="C8" i="5"/>
  <c r="C9" i="5"/>
  <c r="C7" i="5"/>
  <c r="C6" i="5"/>
  <c r="F31" i="6" l="1"/>
  <c r="G11" i="6" s="1"/>
  <c r="H11" i="6" s="1"/>
  <c r="F30" i="7" l="1"/>
  <c r="F28" i="7"/>
  <c r="F27" i="7"/>
  <c r="F24" i="7"/>
  <c r="F26" i="7"/>
  <c r="F25" i="7"/>
  <c r="F29" i="7"/>
  <c r="F23" i="7"/>
  <c r="F21" i="7"/>
  <c r="F20" i="7"/>
  <c r="F18" i="7"/>
  <c r="F19" i="7"/>
  <c r="F15" i="7"/>
  <c r="F16" i="7"/>
  <c r="F8" i="7"/>
  <c r="F13" i="7" l="1"/>
  <c r="F10" i="7"/>
  <c r="F12" i="7"/>
  <c r="F22" i="7"/>
  <c r="F7" i="7"/>
  <c r="F6" i="7"/>
  <c r="F17" i="7"/>
  <c r="F14" i="7"/>
  <c r="G28" i="6"/>
  <c r="H28" i="6" s="1"/>
  <c r="F9" i="7"/>
  <c r="F31" i="7" l="1"/>
  <c r="C31" i="6"/>
  <c r="D11" i="6" s="1"/>
  <c r="E11" i="6" s="1"/>
  <c r="C28" i="7"/>
  <c r="C27" i="7"/>
  <c r="C24" i="7"/>
  <c r="C26" i="7"/>
  <c r="C25" i="7"/>
  <c r="C29" i="7"/>
  <c r="C23" i="7"/>
  <c r="C22" i="7"/>
  <c r="C21" i="7"/>
  <c r="C20" i="7"/>
  <c r="C18" i="7"/>
  <c r="C17" i="7"/>
  <c r="C19" i="7"/>
  <c r="C15" i="7"/>
  <c r="C16" i="7"/>
  <c r="C14" i="7"/>
  <c r="C12" i="7"/>
  <c r="C13" i="7"/>
  <c r="C10" i="7"/>
  <c r="C9" i="7"/>
  <c r="C6" i="7"/>
  <c r="C8" i="7"/>
  <c r="C7" i="7"/>
  <c r="G30" i="7" l="1"/>
  <c r="H30" i="7" s="1"/>
  <c r="G11" i="7"/>
  <c r="H11" i="7" s="1"/>
  <c r="C31" i="7"/>
  <c r="D8" i="7" l="1"/>
  <c r="D11" i="7"/>
  <c r="E11" i="7" s="1"/>
  <c r="F16" i="5"/>
  <c r="G6" i="5" s="1"/>
  <c r="C16" i="5"/>
  <c r="D6" i="5" s="1"/>
  <c r="D10" i="6" l="1"/>
  <c r="E10" i="6" s="1"/>
  <c r="D26" i="6" l="1"/>
  <c r="E26" i="6" s="1"/>
  <c r="D23" i="6"/>
  <c r="E23" i="6" s="1"/>
  <c r="D19" i="6"/>
  <c r="E19" i="6" s="1"/>
  <c r="D16" i="6"/>
  <c r="E16" i="6" s="1"/>
  <c r="D13" i="6"/>
  <c r="E13" i="6" s="1"/>
  <c r="D9" i="6"/>
  <c r="E9" i="6" s="1"/>
  <c r="D6" i="6"/>
  <c r="D29" i="6"/>
  <c r="E29" i="6" s="1"/>
  <c r="D24" i="6"/>
  <c r="E24" i="6" s="1"/>
  <c r="D21" i="6"/>
  <c r="E21" i="6" s="1"/>
  <c r="D22" i="6"/>
  <c r="E22" i="6" s="1"/>
  <c r="D20" i="6"/>
  <c r="E20" i="6" s="1"/>
  <c r="D18" i="6"/>
  <c r="E18" i="6" s="1"/>
  <c r="D15" i="6"/>
  <c r="E15" i="6" s="1"/>
  <c r="D12" i="6"/>
  <c r="E12" i="6" s="1"/>
  <c r="D14" i="6"/>
  <c r="E14" i="6" s="1"/>
  <c r="D7" i="6"/>
  <c r="E7" i="6" s="1"/>
  <c r="D30" i="6"/>
  <c r="E30" i="6" s="1"/>
  <c r="D25" i="6"/>
  <c r="E25" i="6" s="1"/>
  <c r="D27" i="6"/>
  <c r="E27" i="6" s="1"/>
  <c r="D17" i="6"/>
  <c r="E17" i="6" s="1"/>
  <c r="D8" i="6"/>
  <c r="E8" i="6" s="1"/>
  <c r="D31" i="6" l="1"/>
  <c r="C35" i="6"/>
  <c r="E6" i="6"/>
  <c r="E31" i="6" s="1"/>
  <c r="E6" i="5" l="1"/>
  <c r="D13" i="5"/>
  <c r="E13" i="5" s="1"/>
  <c r="G7" i="7" l="1"/>
  <c r="D12" i="5"/>
  <c r="E12" i="5" s="1"/>
  <c r="D8" i="5"/>
  <c r="E8" i="5" s="1"/>
  <c r="D10" i="5"/>
  <c r="E10" i="5" s="1"/>
  <c r="D11" i="5"/>
  <c r="E11" i="5" s="1"/>
  <c r="D7" i="5"/>
  <c r="H6" i="5"/>
  <c r="G11" i="5"/>
  <c r="H11" i="5" s="1"/>
  <c r="G14" i="5"/>
  <c r="H14" i="5" s="1"/>
  <c r="D9" i="5"/>
  <c r="E9" i="5" s="1"/>
  <c r="D15" i="5"/>
  <c r="E15" i="5" s="1"/>
  <c r="D14" i="5"/>
  <c r="E14" i="5" s="1"/>
  <c r="G10" i="5"/>
  <c r="H10" i="5" s="1"/>
  <c r="E7" i="5" l="1"/>
  <c r="D16" i="5"/>
  <c r="G8" i="6"/>
  <c r="G10" i="6"/>
  <c r="G14" i="6"/>
  <c r="G12" i="6"/>
  <c r="G15" i="6"/>
  <c r="G18" i="6"/>
  <c r="G20" i="6"/>
  <c r="G22" i="6"/>
  <c r="G21" i="6"/>
  <c r="G24" i="6"/>
  <c r="G29" i="6"/>
  <c r="G6" i="6"/>
  <c r="H6" i="6" s="1"/>
  <c r="G7" i="6"/>
  <c r="G9" i="6"/>
  <c r="G13" i="6"/>
  <c r="G17" i="6"/>
  <c r="G16" i="6"/>
  <c r="G19" i="6"/>
  <c r="G27" i="6"/>
  <c r="G23" i="6"/>
  <c r="G25" i="6"/>
  <c r="G26" i="6"/>
  <c r="G30" i="6"/>
  <c r="D24" i="7"/>
  <c r="E24" i="7" s="1"/>
  <c r="D28" i="7"/>
  <c r="E28" i="7" s="1"/>
  <c r="D6" i="7"/>
  <c r="D12" i="7"/>
  <c r="E12" i="7" s="1"/>
  <c r="D23" i="7"/>
  <c r="E23" i="7" s="1"/>
  <c r="D7" i="7"/>
  <c r="D10" i="7"/>
  <c r="E10" i="7" s="1"/>
  <c r="D16" i="7"/>
  <c r="E16" i="7" s="1"/>
  <c r="D13" i="7"/>
  <c r="E13" i="7" s="1"/>
  <c r="D9" i="7"/>
  <c r="E9" i="7" s="1"/>
  <c r="D19" i="7"/>
  <c r="E19" i="7" s="1"/>
  <c r="D26" i="7"/>
  <c r="E26" i="7" s="1"/>
  <c r="E8" i="7"/>
  <c r="D14" i="7"/>
  <c r="E14" i="7" s="1"/>
  <c r="D18" i="7"/>
  <c r="E18" i="7" s="1"/>
  <c r="D17" i="7"/>
  <c r="E17" i="7" s="1"/>
  <c r="D22" i="7"/>
  <c r="E22" i="7" s="1"/>
  <c r="D27" i="7"/>
  <c r="E27" i="7" s="1"/>
  <c r="D15" i="7"/>
  <c r="E15" i="7" s="1"/>
  <c r="D29" i="7"/>
  <c r="E29" i="7" s="1"/>
  <c r="D20" i="7"/>
  <c r="E20" i="7" s="1"/>
  <c r="D25" i="7"/>
  <c r="E25" i="7" s="1"/>
  <c r="D21" i="7"/>
  <c r="E21" i="7" s="1"/>
  <c r="G15" i="5"/>
  <c r="H15" i="5" s="1"/>
  <c r="G9" i="5"/>
  <c r="H9" i="5" s="1"/>
  <c r="G13" i="5"/>
  <c r="H13" i="5" s="1"/>
  <c r="G8" i="5"/>
  <c r="H8" i="5" s="1"/>
  <c r="G7" i="5"/>
  <c r="G12" i="5"/>
  <c r="H12" i="5" s="1"/>
  <c r="E16" i="5" l="1"/>
  <c r="C21" i="5" s="1"/>
  <c r="D31" i="7"/>
  <c r="C35" i="7"/>
  <c r="E6" i="7"/>
  <c r="D35" i="6"/>
  <c r="G31" i="6"/>
  <c r="G16" i="5"/>
  <c r="C8" i="4"/>
  <c r="E7" i="7"/>
  <c r="H7" i="5"/>
  <c r="G8" i="7"/>
  <c r="H16" i="5" l="1"/>
  <c r="D21" i="5" s="1"/>
  <c r="E31" i="7"/>
  <c r="C36" i="7" s="1"/>
  <c r="H8" i="7"/>
  <c r="C36" i="6"/>
  <c r="H26" i="6"/>
  <c r="G25" i="7"/>
  <c r="H25" i="7" s="1"/>
  <c r="G19" i="7"/>
  <c r="H19" i="7" s="1"/>
  <c r="G24" i="7"/>
  <c r="H24" i="7" s="1"/>
  <c r="G27" i="7"/>
  <c r="H27" i="7" s="1"/>
  <c r="G29" i="7"/>
  <c r="H29" i="7" s="1"/>
  <c r="G21" i="7"/>
  <c r="H21" i="7" s="1"/>
  <c r="G13" i="7"/>
  <c r="H13" i="7" s="1"/>
  <c r="G9" i="7"/>
  <c r="H9" i="7" s="1"/>
  <c r="G28" i="7"/>
  <c r="H28" i="7" s="1"/>
  <c r="G23" i="7"/>
  <c r="H23" i="7" s="1"/>
  <c r="G20" i="7"/>
  <c r="H20" i="7" s="1"/>
  <c r="G15" i="7"/>
  <c r="H15" i="7" s="1"/>
  <c r="G12" i="7"/>
  <c r="H12" i="7" s="1"/>
  <c r="G22" i="7"/>
  <c r="H22" i="7" s="1"/>
  <c r="G14" i="7"/>
  <c r="H14" i="7" s="1"/>
  <c r="G6" i="7"/>
  <c r="G18" i="7"/>
  <c r="H18" i="7" s="1"/>
  <c r="G26" i="7"/>
  <c r="H26" i="7" s="1"/>
  <c r="G16" i="7"/>
  <c r="H16" i="7" s="1"/>
  <c r="D35" i="7" l="1"/>
  <c r="H6" i="7"/>
  <c r="D8" i="4"/>
  <c r="H24" i="6"/>
  <c r="H29" i="6"/>
  <c r="H18" i="6"/>
  <c r="H30" i="6"/>
  <c r="H17" i="6"/>
  <c r="H15" i="6"/>
  <c r="H27" i="6"/>
  <c r="H16" i="6"/>
  <c r="H13" i="6"/>
  <c r="H21" i="6"/>
  <c r="H25" i="6"/>
  <c r="H20" i="6"/>
  <c r="H22" i="6"/>
  <c r="H19" i="6"/>
  <c r="H23" i="6"/>
  <c r="H12" i="6"/>
  <c r="H14" i="6"/>
  <c r="H9" i="6"/>
  <c r="H8" i="6"/>
  <c r="H10" i="6" l="1"/>
  <c r="H7" i="6"/>
  <c r="G10" i="7"/>
  <c r="G17" i="7"/>
  <c r="H17" i="7" s="1"/>
  <c r="H7" i="7"/>
  <c r="G31" i="7" l="1"/>
  <c r="H31" i="6"/>
  <c r="D36" i="6" s="1"/>
  <c r="H10" i="7"/>
  <c r="H31" i="7" s="1"/>
  <c r="D36" i="7" l="1"/>
</calcChain>
</file>

<file path=xl/sharedStrings.xml><?xml version="1.0" encoding="utf-8"?>
<sst xmlns="http://schemas.openxmlformats.org/spreadsheetml/2006/main" count="140" uniqueCount="52">
  <si>
    <t>HHI</t>
  </si>
  <si>
    <t>Tržišni udio</t>
  </si>
  <si>
    <t>UKUPNO:</t>
  </si>
  <si>
    <t>Merkur BH osiguranje d.d.</t>
  </si>
  <si>
    <t>Uniqa osiguranje d.d.</t>
  </si>
  <si>
    <t>Grawe osiguranje d.d.</t>
  </si>
  <si>
    <t>Grawe osiguranje a.d.</t>
  </si>
  <si>
    <t>Croatia osiguranje d.d.</t>
  </si>
  <si>
    <t>Triglav osiguranje d.d.</t>
  </si>
  <si>
    <t>Dunav osiguranje a.d.</t>
  </si>
  <si>
    <t>Euroherc osiguranje d.d.</t>
  </si>
  <si>
    <t>VGT osiguranje d.d.</t>
  </si>
  <si>
    <t>Drina osiguranje a.d.</t>
  </si>
  <si>
    <t>Zovko osiguranje d.d.</t>
  </si>
  <si>
    <t>Nešković osiguranje a.d.</t>
  </si>
  <si>
    <t>Triglav osiguranje a.d.</t>
  </si>
  <si>
    <t>ASA osiguranje d.d.</t>
  </si>
  <si>
    <t>Camelija osiguranje d.d.</t>
  </si>
  <si>
    <t>Krajina osiguranje a.d.</t>
  </si>
  <si>
    <t>Osiguranje Aura a.d.</t>
  </si>
  <si>
    <t>Mikrofin osiguranje a.d.</t>
  </si>
  <si>
    <t>Brčko-gas osiguranje d.d.</t>
  </si>
  <si>
    <t>Dominantno društvo</t>
  </si>
  <si>
    <t>Udio u ukupnoj premiji (%)</t>
  </si>
  <si>
    <t>Tržišni udio prva četiri društva</t>
  </si>
  <si>
    <t>Bosna-Sunce osiguranje d.d.</t>
  </si>
  <si>
    <t>Sarajevo-osiguranje d.d.</t>
  </si>
  <si>
    <t>Wiener osiguranje a.d.***</t>
  </si>
  <si>
    <t>Osiguranje Garant d.d.</t>
  </si>
  <si>
    <t>-</t>
  </si>
  <si>
    <t>II K 2015.*</t>
  </si>
  <si>
    <t>II K 2016.**</t>
  </si>
  <si>
    <t>Koncentracija tržišta osiguranja u BiH za drugi kvartal 2015. i 2016.</t>
  </si>
  <si>
    <t>HHI indeks za tržište životnog osiguranja u BiH za drugi kvartal 2015. i 2016. godine</t>
  </si>
  <si>
    <t>HHI indeks za tržište neživotnog osiguranja u BiH  za drugi kvartal 2015. i 2016. godine</t>
  </si>
  <si>
    <t>Atos osiguranje a.d.****</t>
  </si>
  <si>
    <t>Euros osiguranje a.d.*****</t>
  </si>
  <si>
    <t>koje je počelo sa radom početkom 2016. godine.</t>
  </si>
  <si>
    <t>Prvih pet osiguravatelja</t>
  </si>
  <si>
    <t>Prvih deset osiguravatelja</t>
  </si>
  <si>
    <t>*Podatci se odnose na razdoblje od 01.01. do 30.06.2015. godine.</t>
  </si>
  <si>
    <t>**Podatci se odnose na razdoblje od 01.01. do 30.06.2016. godine.</t>
  </si>
  <si>
    <t>Premija (u tisućama KM)</t>
  </si>
  <si>
    <t>Osiguravajuće društvo</t>
  </si>
  <si>
    <t xml:space="preserve">***Od 01.12.2014. godine Jahorina osiguranje a.d. Pale </t>
  </si>
  <si>
    <t>***Od 01.12.2014. godine Jahorina osiguranje a.d. Pale</t>
  </si>
  <si>
    <t>promijenilo je naziv u Wiener osiguranje a.d. Banja Luka.</t>
  </si>
  <si>
    <t>promijenilo je naziv u Atos osiguranje a.d.</t>
  </si>
  <si>
    <t>****U toku 2016. godine Bobar osiguranje a.d.</t>
  </si>
  <si>
    <t xml:space="preserve">*****Euros osiguranje a.d. je novo osiguravajuće društvo </t>
  </si>
  <si>
    <t>HHI indeks za tržište životnog i neživotnog osiguranja u BiH za drugi kvartal 2015. i 2016. godine</t>
  </si>
  <si>
    <t>****U tijeku 2016. godine Bobar osiguranje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</si>
</sst>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4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Bookman Old Style"/>
      <family val="1"/>
      <charset val="238"/>
    </font>
    <font>
      <sz val="9"/>
      <name val="Bookman Old Style"/>
      <family val="1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B05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Bookman Old Style"/>
      <family val="1"/>
    </font>
    <font>
      <sz val="9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  <font>
      <b/>
      <sz val="11"/>
      <color rgb="FF00B050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5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3" borderId="7" applyNumberFormat="0" applyFont="0" applyAlignment="0" applyProtection="0"/>
    <xf numFmtId="0" fontId="24" fillId="20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43" fillId="0" borderId="0"/>
    <xf numFmtId="0" fontId="6" fillId="0" borderId="0"/>
    <xf numFmtId="0" fontId="43" fillId="0" borderId="0"/>
    <xf numFmtId="0" fontId="43" fillId="0" borderId="0"/>
    <xf numFmtId="0" fontId="43" fillId="0" borderId="0"/>
    <xf numFmtId="0" fontId="6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" fillId="20" borderId="25" applyNumberFormat="0" applyAlignment="0" applyProtection="0"/>
    <xf numFmtId="0" fontId="20" fillId="7" borderId="25" applyNumberFormat="0" applyAlignment="0" applyProtection="0"/>
    <xf numFmtId="0" fontId="12" fillId="23" borderId="26" applyNumberFormat="0" applyFont="0" applyAlignment="0" applyProtection="0"/>
    <xf numFmtId="0" fontId="24" fillId="20" borderId="27" applyNumberFormat="0" applyAlignment="0" applyProtection="0"/>
    <xf numFmtId="0" fontId="26" fillId="0" borderId="28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8">
    <xf numFmtId="0" fontId="0" fillId="0" borderId="0" xfId="0"/>
    <xf numFmtId="0" fontId="29" fillId="0" borderId="0" xfId="40" applyFont="1"/>
    <xf numFmtId="0" fontId="29" fillId="0" borderId="0" xfId="151" applyFont="1"/>
    <xf numFmtId="1" fontId="29" fillId="0" borderId="0" xfId="151" applyNumberFormat="1" applyFont="1"/>
    <xf numFmtId="0" fontId="31" fillId="0" borderId="0" xfId="151" applyFont="1"/>
    <xf numFmtId="0" fontId="31" fillId="0" borderId="0" xfId="151" applyFont="1" applyAlignment="1">
      <alignment horizontal="left"/>
    </xf>
    <xf numFmtId="3" fontId="31" fillId="0" borderId="0" xfId="151" applyNumberFormat="1" applyFont="1"/>
    <xf numFmtId="0" fontId="31" fillId="0" borderId="0" xfId="151" applyFont="1" applyBorder="1"/>
    <xf numFmtId="0" fontId="34" fillId="0" borderId="0" xfId="151" applyFont="1" applyBorder="1"/>
    <xf numFmtId="3" fontId="29" fillId="0" borderId="0" xfId="151" applyNumberFormat="1" applyFont="1" applyBorder="1"/>
    <xf numFmtId="3" fontId="33" fillId="0" borderId="0" xfId="151" applyNumberFormat="1" applyFont="1" applyBorder="1"/>
    <xf numFmtId="0" fontId="37" fillId="26" borderId="16" xfId="151" applyFont="1" applyFill="1" applyBorder="1" applyAlignment="1">
      <alignment horizontal="right" vertical="center" wrapText="1"/>
    </xf>
    <xf numFmtId="0" fontId="37" fillId="26" borderId="10" xfId="151" applyFont="1" applyFill="1" applyBorder="1" applyAlignment="1">
      <alignment horizontal="center" vertical="center" wrapText="1"/>
    </xf>
    <xf numFmtId="0" fontId="37" fillId="26" borderId="10" xfId="151" applyFont="1" applyFill="1" applyBorder="1" applyAlignment="1">
      <alignment horizontal="center" vertical="center"/>
    </xf>
    <xf numFmtId="0" fontId="37" fillId="26" borderId="15" xfId="151" applyFont="1" applyFill="1" applyBorder="1" applyAlignment="1">
      <alignment horizontal="center" vertical="center"/>
    </xf>
    <xf numFmtId="2" fontId="38" fillId="25" borderId="10" xfId="151" applyNumberFormat="1" applyFont="1" applyFill="1" applyBorder="1" applyAlignment="1">
      <alignment horizontal="right"/>
    </xf>
    <xf numFmtId="1" fontId="38" fillId="0" borderId="15" xfId="151" applyNumberFormat="1" applyFont="1" applyBorder="1" applyAlignment="1">
      <alignment horizontal="right"/>
    </xf>
    <xf numFmtId="2" fontId="38" fillId="0" borderId="10" xfId="151" applyNumberFormat="1" applyFont="1" applyFill="1" applyBorder="1" applyAlignment="1">
      <alignment horizontal="right"/>
    </xf>
    <xf numFmtId="0" fontId="37" fillId="26" borderId="16" xfId="151" applyFont="1" applyFill="1" applyBorder="1" applyAlignment="1">
      <alignment horizontal="right" wrapText="1"/>
    </xf>
    <xf numFmtId="3" fontId="37" fillId="26" borderId="17" xfId="151" applyNumberFormat="1" applyFont="1" applyFill="1" applyBorder="1" applyAlignment="1">
      <alignment horizontal="right"/>
    </xf>
    <xf numFmtId="1" fontId="37" fillId="26" borderId="17" xfId="151" applyNumberFormat="1" applyFont="1" applyFill="1" applyBorder="1" applyAlignment="1">
      <alignment horizontal="right"/>
    </xf>
    <xf numFmtId="1" fontId="35" fillId="26" borderId="17" xfId="151" applyNumberFormat="1" applyFont="1" applyFill="1" applyBorder="1" applyAlignment="1">
      <alignment horizontal="right"/>
    </xf>
    <xf numFmtId="1" fontId="35" fillId="26" borderId="18" xfId="151" applyNumberFormat="1" applyFont="1" applyFill="1" applyBorder="1" applyAlignment="1">
      <alignment horizontal="right"/>
    </xf>
    <xf numFmtId="0" fontId="35" fillId="25" borderId="11" xfId="40" applyFont="1" applyFill="1" applyBorder="1" applyAlignment="1">
      <alignment horizontal="center" vertical="center"/>
    </xf>
    <xf numFmtId="0" fontId="35" fillId="25" borderId="12" xfId="40" applyFont="1" applyFill="1" applyBorder="1" applyAlignment="1">
      <alignment horizontal="center" vertical="center"/>
    </xf>
    <xf numFmtId="0" fontId="35" fillId="25" borderId="13" xfId="40" applyFont="1" applyFill="1" applyBorder="1" applyAlignment="1">
      <alignment horizontal="center" vertical="center"/>
    </xf>
    <xf numFmtId="0" fontId="39" fillId="0" borderId="0" xfId="40" applyFont="1"/>
    <xf numFmtId="3" fontId="37" fillId="26" borderId="18" xfId="151" applyNumberFormat="1" applyFont="1" applyFill="1" applyBorder="1" applyAlignment="1">
      <alignment horizontal="right" vertical="center"/>
    </xf>
    <xf numFmtId="3" fontId="40" fillId="0" borderId="0" xfId="151" applyNumberFormat="1" applyFont="1" applyFill="1" applyBorder="1" applyAlignment="1">
      <alignment horizontal="right" wrapText="1"/>
    </xf>
    <xf numFmtId="0" fontId="41" fillId="0" borderId="0" xfId="0" applyFont="1"/>
    <xf numFmtId="3" fontId="42" fillId="0" borderId="0" xfId="151" applyNumberFormat="1" applyFont="1"/>
    <xf numFmtId="3" fontId="40" fillId="0" borderId="0" xfId="151" applyNumberFormat="1" applyFont="1" applyFill="1" applyBorder="1" applyAlignment="1">
      <alignment horizontal="right" vertical="center"/>
    </xf>
    <xf numFmtId="0" fontId="44" fillId="0" borderId="0" xfId="40" applyFont="1" applyBorder="1" applyAlignment="1"/>
    <xf numFmtId="4" fontId="31" fillId="0" borderId="0" xfId="151" applyNumberFormat="1" applyFont="1"/>
    <xf numFmtId="3" fontId="29" fillId="0" borderId="0" xfId="151" applyNumberFormat="1" applyFont="1"/>
    <xf numFmtId="0" fontId="45" fillId="0" borderId="14" xfId="151" applyFont="1" applyBorder="1" applyAlignment="1">
      <alignment horizontal="left" wrapText="1"/>
    </xf>
    <xf numFmtId="0" fontId="45" fillId="0" borderId="14" xfId="151" applyFont="1" applyBorder="1" applyAlignment="1">
      <alignment horizontal="left"/>
    </xf>
    <xf numFmtId="0" fontId="45" fillId="24" borderId="14" xfId="151" applyFont="1" applyFill="1" applyBorder="1" applyAlignment="1">
      <alignment horizontal="left"/>
    </xf>
    <xf numFmtId="0" fontId="45" fillId="24" borderId="14" xfId="151" applyFont="1" applyFill="1" applyBorder="1" applyAlignment="1">
      <alignment horizontal="left" wrapText="1"/>
    </xf>
    <xf numFmtId="1" fontId="31" fillId="0" borderId="0" xfId="151" applyNumberFormat="1" applyFont="1"/>
    <xf numFmtId="0" fontId="45" fillId="24" borderId="14" xfId="151" applyFont="1" applyFill="1" applyBorder="1" applyAlignment="1">
      <alignment horizontal="justify" vertical="center"/>
    </xf>
    <xf numFmtId="0" fontId="45" fillId="24" borderId="14" xfId="151" applyFont="1" applyFill="1" applyBorder="1" applyAlignment="1">
      <alignment horizontal="justify" vertical="center" wrapText="1"/>
    </xf>
    <xf numFmtId="0" fontId="45" fillId="24" borderId="14" xfId="151" applyFont="1" applyFill="1" applyBorder="1" applyAlignment="1">
      <alignment horizontal="left" vertical="center"/>
    </xf>
    <xf numFmtId="3" fontId="46" fillId="0" borderId="0" xfId="151" applyNumberFormat="1" applyFont="1"/>
    <xf numFmtId="0" fontId="47" fillId="0" borderId="14" xfId="151" applyFont="1" applyBorder="1" applyAlignment="1">
      <alignment wrapText="1"/>
    </xf>
    <xf numFmtId="0" fontId="47" fillId="24" borderId="14" xfId="151" applyFont="1" applyFill="1" applyBorder="1" applyAlignment="1">
      <alignment horizontal="left" wrapText="1"/>
    </xf>
    <xf numFmtId="4" fontId="0" fillId="0" borderId="0" xfId="0" applyNumberFormat="1" applyBorder="1"/>
    <xf numFmtId="4" fontId="46" fillId="0" borderId="0" xfId="151" applyNumberFormat="1" applyFont="1"/>
    <xf numFmtId="0" fontId="47" fillId="24" borderId="14" xfId="151" applyFont="1" applyFill="1" applyBorder="1" applyAlignment="1">
      <alignment horizontal="justify" vertical="center"/>
    </xf>
    <xf numFmtId="0" fontId="45" fillId="24" borderId="22" xfId="151" applyFont="1" applyFill="1" applyBorder="1" applyAlignment="1">
      <alignment horizontal="justify" vertical="center"/>
    </xf>
    <xf numFmtId="4" fontId="14" fillId="0" borderId="0" xfId="0" applyNumberFormat="1" applyFont="1"/>
    <xf numFmtId="4" fontId="50" fillId="0" borderId="0" xfId="206" applyNumberFormat="1" applyFont="1" applyBorder="1" applyAlignment="1" applyProtection="1">
      <alignment horizontal="right"/>
    </xf>
    <xf numFmtId="4" fontId="31" fillId="0" borderId="0" xfId="151" applyNumberFormat="1" applyFont="1" applyBorder="1"/>
    <xf numFmtId="0" fontId="35" fillId="0" borderId="10" xfId="151" applyFont="1" applyBorder="1" applyAlignment="1">
      <alignment horizontal="left"/>
    </xf>
    <xf numFmtId="2" fontId="45" fillId="25" borderId="10" xfId="151" applyNumberFormat="1" applyFont="1" applyFill="1" applyBorder="1" applyAlignment="1">
      <alignment horizontal="right"/>
    </xf>
    <xf numFmtId="1" fontId="45" fillId="0" borderId="10" xfId="151" applyNumberFormat="1" applyFont="1" applyBorder="1" applyAlignment="1">
      <alignment horizontal="right"/>
    </xf>
    <xf numFmtId="1" fontId="48" fillId="0" borderId="0" xfId="151" applyNumberFormat="1" applyFont="1"/>
    <xf numFmtId="10" fontId="45" fillId="0" borderId="0" xfId="151" applyNumberFormat="1" applyFont="1" applyBorder="1" applyAlignment="1">
      <alignment horizontal="center"/>
    </xf>
    <xf numFmtId="3" fontId="45" fillId="0" borderId="0" xfId="151" applyNumberFormat="1" applyFont="1" applyBorder="1" applyAlignment="1">
      <alignment horizontal="center"/>
    </xf>
    <xf numFmtId="0" fontId="35" fillId="0" borderId="0" xfId="151" applyFont="1" applyFill="1" applyBorder="1" applyAlignment="1">
      <alignment horizontal="center"/>
    </xf>
    <xf numFmtId="0" fontId="36" fillId="25" borderId="10" xfId="151" applyFont="1" applyFill="1" applyBorder="1" applyAlignment="1">
      <alignment horizontal="center"/>
    </xf>
    <xf numFmtId="0" fontId="35" fillId="25" borderId="10" xfId="151" applyFont="1" applyFill="1" applyBorder="1" applyAlignment="1">
      <alignment horizontal="center"/>
    </xf>
    <xf numFmtId="3" fontId="45" fillId="0" borderId="10" xfId="151" applyNumberFormat="1" applyFont="1" applyBorder="1" applyAlignment="1">
      <alignment horizontal="center"/>
    </xf>
    <xf numFmtId="3" fontId="52" fillId="0" borderId="10" xfId="151" applyNumberFormat="1" applyFont="1" applyBorder="1" applyAlignment="1">
      <alignment horizontal="center" vertical="center"/>
    </xf>
    <xf numFmtId="0" fontId="35" fillId="0" borderId="0" xfId="151" applyFont="1" applyFill="1" applyBorder="1" applyAlignment="1">
      <alignment horizontal="center" vertical="center"/>
    </xf>
    <xf numFmtId="10" fontId="45" fillId="0" borderId="0" xfId="151" applyNumberFormat="1" applyFont="1" applyFill="1" applyBorder="1" applyAlignment="1">
      <alignment horizontal="center"/>
    </xf>
    <xf numFmtId="3" fontId="45" fillId="0" borderId="0" xfId="151" applyNumberFormat="1" applyFont="1" applyFill="1" applyBorder="1" applyAlignment="1">
      <alignment horizontal="center"/>
    </xf>
    <xf numFmtId="0" fontId="53" fillId="25" borderId="10" xfId="151" applyFont="1" applyFill="1" applyBorder="1" applyAlignment="1">
      <alignment horizontal="center" vertical="center"/>
    </xf>
    <xf numFmtId="0" fontId="53" fillId="25" borderId="10" xfId="151" applyFont="1" applyFill="1" applyBorder="1" applyAlignment="1">
      <alignment horizontal="center"/>
    </xf>
    <xf numFmtId="1" fontId="52" fillId="0" borderId="10" xfId="151" applyNumberFormat="1" applyFont="1" applyBorder="1" applyAlignment="1">
      <alignment horizontal="center"/>
    </xf>
    <xf numFmtId="0" fontId="36" fillId="25" borderId="10" xfId="151" applyFont="1" applyFill="1" applyBorder="1" applyAlignment="1"/>
    <xf numFmtId="0" fontId="35" fillId="0" borderId="10" xfId="151" applyFont="1" applyBorder="1" applyAlignment="1"/>
    <xf numFmtId="0" fontId="31" fillId="0" borderId="0" xfId="151" applyFont="1" applyFill="1" applyBorder="1"/>
    <xf numFmtId="3" fontId="49" fillId="0" borderId="0" xfId="151" applyNumberFormat="1" applyFont="1" applyFill="1" applyBorder="1" applyAlignment="1">
      <alignment horizontal="right"/>
    </xf>
    <xf numFmtId="3" fontId="46" fillId="0" borderId="0" xfId="151" applyNumberFormat="1" applyFont="1" applyFill="1" applyBorder="1"/>
    <xf numFmtId="1" fontId="45" fillId="24" borderId="10" xfId="151" applyNumberFormat="1" applyFont="1" applyFill="1" applyBorder="1" applyAlignment="1">
      <alignment horizontal="right"/>
    </xf>
    <xf numFmtId="2" fontId="45" fillId="0" borderId="10" xfId="151" applyNumberFormat="1" applyFont="1" applyFill="1" applyBorder="1" applyAlignment="1">
      <alignment horizontal="right"/>
    </xf>
    <xf numFmtId="1" fontId="49" fillId="26" borderId="17" xfId="151" applyNumberFormat="1" applyFont="1" applyFill="1" applyBorder="1" applyAlignment="1">
      <alignment horizontal="right"/>
    </xf>
    <xf numFmtId="2" fontId="36" fillId="25" borderId="10" xfId="151" applyNumberFormat="1" applyFont="1" applyFill="1" applyBorder="1" applyAlignment="1">
      <alignment horizontal="right" vertical="center"/>
    </xf>
    <xf numFmtId="1" fontId="36" fillId="24" borderId="10" xfId="151" applyNumberFormat="1" applyFont="1" applyFill="1" applyBorder="1" applyAlignment="1">
      <alignment horizontal="right" vertical="center"/>
    </xf>
    <xf numFmtId="1" fontId="36" fillId="24" borderId="15" xfId="151" applyNumberFormat="1" applyFont="1" applyFill="1" applyBorder="1" applyAlignment="1">
      <alignment horizontal="right" vertical="center"/>
    </xf>
    <xf numFmtId="2" fontId="36" fillId="0" borderId="10" xfId="151" applyNumberFormat="1" applyFont="1" applyFill="1" applyBorder="1" applyAlignment="1">
      <alignment horizontal="right" vertical="center"/>
    </xf>
    <xf numFmtId="2" fontId="36" fillId="27" borderId="10" xfId="151" applyNumberFormat="1" applyFont="1" applyFill="1" applyBorder="1" applyAlignment="1">
      <alignment horizontal="right" vertical="center"/>
    </xf>
    <xf numFmtId="1" fontId="35" fillId="26" borderId="17" xfId="151" applyNumberFormat="1" applyFont="1" applyFill="1" applyBorder="1" applyAlignment="1">
      <alignment horizontal="right" vertical="center"/>
    </xf>
    <xf numFmtId="1" fontId="35" fillId="26" borderId="18" xfId="151" applyNumberFormat="1" applyFont="1" applyFill="1" applyBorder="1" applyAlignment="1">
      <alignment horizontal="right" vertical="center"/>
    </xf>
    <xf numFmtId="0" fontId="51" fillId="0" borderId="0" xfId="204" applyFont="1" applyBorder="1" applyAlignment="1">
      <alignment horizontal="left"/>
    </xf>
    <xf numFmtId="0" fontId="48" fillId="0" borderId="0" xfId="151" applyFont="1"/>
    <xf numFmtId="0" fontId="46" fillId="0" borderId="0" xfId="151" applyFont="1"/>
    <xf numFmtId="3" fontId="45" fillId="24" borderId="10" xfId="151" applyNumberFormat="1" applyFont="1" applyFill="1" applyBorder="1" applyAlignment="1">
      <alignment horizontal="right" vertical="center"/>
    </xf>
    <xf numFmtId="3" fontId="45" fillId="24" borderId="23" xfId="151" applyNumberFormat="1" applyFont="1" applyFill="1" applyBorder="1" applyAlignment="1">
      <alignment horizontal="right" vertical="center"/>
    </xf>
    <xf numFmtId="3" fontId="45" fillId="0" borderId="10" xfId="151" applyNumberFormat="1" applyFont="1" applyFill="1" applyBorder="1" applyAlignment="1">
      <alignment horizontal="right"/>
    </xf>
    <xf numFmtId="3" fontId="45" fillId="24" borderId="10" xfId="151" applyNumberFormat="1" applyFont="1" applyFill="1" applyBorder="1" applyAlignment="1">
      <alignment horizontal="right"/>
    </xf>
    <xf numFmtId="2" fontId="45" fillId="27" borderId="10" xfId="151" applyNumberFormat="1" applyFont="1" applyFill="1" applyBorder="1" applyAlignment="1">
      <alignment horizontal="right"/>
    </xf>
    <xf numFmtId="0" fontId="39" fillId="0" borderId="0" xfId="151" applyFont="1" applyBorder="1"/>
    <xf numFmtId="4" fontId="51" fillId="0" borderId="0" xfId="206" applyNumberFormat="1" applyFont="1" applyBorder="1" applyAlignment="1" applyProtection="1">
      <alignment horizontal="right"/>
      <protection locked="0"/>
    </xf>
    <xf numFmtId="4" fontId="51" fillId="0" borderId="0" xfId="206" applyNumberFormat="1" applyFont="1" applyBorder="1" applyAlignment="1" applyProtection="1">
      <alignment horizontal="right"/>
    </xf>
    <xf numFmtId="4" fontId="55" fillId="0" borderId="0" xfId="151" applyNumberFormat="1" applyFont="1" applyBorder="1"/>
    <xf numFmtId="4" fontId="50" fillId="0" borderId="0" xfId="204" applyNumberFormat="1" applyFont="1" applyBorder="1"/>
    <xf numFmtId="0" fontId="56" fillId="0" borderId="0" xfId="151" applyFont="1" applyBorder="1"/>
    <xf numFmtId="4" fontId="57" fillId="0" borderId="0" xfId="206" applyNumberFormat="1" applyFont="1" applyBorder="1" applyAlignment="1" applyProtection="1">
      <alignment horizontal="right"/>
      <protection locked="0"/>
    </xf>
    <xf numFmtId="4" fontId="57" fillId="0" borderId="0" xfId="206" applyNumberFormat="1" applyFont="1" applyBorder="1" applyAlignment="1" applyProtection="1">
      <alignment horizontal="right"/>
    </xf>
    <xf numFmtId="4" fontId="58" fillId="0" borderId="0" xfId="151" applyNumberFormat="1" applyFont="1" applyBorder="1"/>
    <xf numFmtId="4" fontId="59" fillId="0" borderId="0" xfId="204" applyNumberFormat="1" applyFont="1" applyBorder="1"/>
    <xf numFmtId="0" fontId="57" fillId="0" borderId="0" xfId="204" applyFont="1" applyBorder="1" applyAlignment="1">
      <alignment horizontal="left"/>
    </xf>
    <xf numFmtId="0" fontId="31" fillId="0" borderId="0" xfId="151" applyFont="1" applyAlignment="1"/>
    <xf numFmtId="0" fontId="45" fillId="24" borderId="22" xfId="151" applyFont="1" applyFill="1" applyBorder="1" applyAlignment="1">
      <alignment horizontal="left"/>
    </xf>
    <xf numFmtId="2" fontId="45" fillId="0" borderId="23" xfId="151" applyNumberFormat="1" applyFont="1" applyFill="1" applyBorder="1" applyAlignment="1">
      <alignment horizontal="right"/>
    </xf>
    <xf numFmtId="1" fontId="45" fillId="24" borderId="23" xfId="151" applyNumberFormat="1" applyFont="1" applyFill="1" applyBorder="1" applyAlignment="1">
      <alignment horizontal="right"/>
    </xf>
    <xf numFmtId="3" fontId="35" fillId="0" borderId="0" xfId="151" applyNumberFormat="1" applyFont="1" applyFill="1" applyBorder="1" applyAlignment="1">
      <alignment horizontal="right" vertical="center"/>
    </xf>
    <xf numFmtId="2" fontId="36" fillId="0" borderId="23" xfId="151" applyNumberFormat="1" applyFont="1" applyFill="1" applyBorder="1" applyAlignment="1">
      <alignment horizontal="right" vertical="center"/>
    </xf>
    <xf numFmtId="1" fontId="36" fillId="24" borderId="23" xfId="151" applyNumberFormat="1" applyFont="1" applyFill="1" applyBorder="1" applyAlignment="1">
      <alignment horizontal="right" vertical="center"/>
    </xf>
    <xf numFmtId="0" fontId="60" fillId="0" borderId="0" xfId="151" applyFont="1" applyBorder="1"/>
    <xf numFmtId="0" fontId="61" fillId="0" borderId="0" xfId="151" applyFont="1" applyBorder="1"/>
    <xf numFmtId="4" fontId="59" fillId="0" borderId="0" xfId="206" applyNumberFormat="1" applyFont="1" applyBorder="1" applyAlignment="1" applyProtection="1">
      <alignment horizontal="right"/>
      <protection locked="0"/>
    </xf>
    <xf numFmtId="4" fontId="59" fillId="0" borderId="0" xfId="206" applyNumberFormat="1" applyFont="1" applyBorder="1" applyAlignment="1" applyProtection="1">
      <alignment horizontal="right"/>
    </xf>
    <xf numFmtId="4" fontId="45" fillId="0" borderId="0" xfId="151" applyNumberFormat="1" applyFont="1" applyBorder="1"/>
    <xf numFmtId="0" fontId="62" fillId="0" borderId="0" xfId="204" applyFont="1" applyBorder="1" applyAlignment="1">
      <alignment horizontal="left"/>
    </xf>
    <xf numFmtId="3" fontId="45" fillId="24" borderId="21" xfId="151" applyNumberFormat="1" applyFont="1" applyFill="1" applyBorder="1" applyAlignment="1">
      <alignment horizontal="right" vertical="center"/>
    </xf>
    <xf numFmtId="3" fontId="45" fillId="24" borderId="24" xfId="151" applyNumberFormat="1" applyFont="1" applyFill="1" applyBorder="1" applyAlignment="1">
      <alignment horizontal="right" vertical="center"/>
    </xf>
    <xf numFmtId="3" fontId="45" fillId="0" borderId="21" xfId="151" applyNumberFormat="1" applyFont="1" applyFill="1" applyBorder="1" applyAlignment="1">
      <alignment horizontal="right"/>
    </xf>
    <xf numFmtId="0" fontId="31" fillId="0" borderId="0" xfId="151" applyFont="1" applyFill="1"/>
    <xf numFmtId="0" fontId="62" fillId="0" borderId="0" xfId="204" applyFont="1" applyFill="1" applyBorder="1" applyAlignment="1">
      <alignment horizontal="left"/>
    </xf>
    <xf numFmtId="2" fontId="45" fillId="0" borderId="10" xfId="151" applyNumberFormat="1" applyFont="1" applyFill="1" applyBorder="1" applyAlignment="1">
      <alignment horizontal="right" vertical="center"/>
    </xf>
    <xf numFmtId="2" fontId="45" fillId="27" borderId="10" xfId="151" applyNumberFormat="1" applyFont="1" applyFill="1" applyBorder="1" applyAlignment="1">
      <alignment horizontal="right" vertical="center"/>
    </xf>
    <xf numFmtId="3" fontId="63" fillId="0" borderId="0" xfId="151" applyNumberFormat="1" applyFont="1" applyFill="1" applyBorder="1" applyAlignment="1">
      <alignment horizontal="right"/>
    </xf>
    <xf numFmtId="3" fontId="45" fillId="0" borderId="10" xfId="151" applyNumberFormat="1" applyFont="1" applyFill="1" applyBorder="1" applyAlignment="1">
      <alignment horizontal="right" wrapText="1"/>
    </xf>
    <xf numFmtId="3" fontId="45" fillId="0" borderId="10" xfId="151" applyNumberFormat="1" applyFont="1" applyBorder="1" applyAlignment="1">
      <alignment horizontal="right" wrapText="1"/>
    </xf>
    <xf numFmtId="3" fontId="45" fillId="0" borderId="0" xfId="0" applyNumberFormat="1" applyFont="1"/>
    <xf numFmtId="1" fontId="45" fillId="24" borderId="15" xfId="151" applyNumberFormat="1" applyFont="1" applyFill="1" applyBorder="1" applyAlignment="1">
      <alignment horizontal="right"/>
    </xf>
    <xf numFmtId="3" fontId="45" fillId="24" borderId="21" xfId="151" applyNumberFormat="1" applyFont="1" applyFill="1" applyBorder="1" applyAlignment="1">
      <alignment horizontal="right"/>
    </xf>
    <xf numFmtId="3" fontId="45" fillId="24" borderId="23" xfId="151" applyNumberFormat="1" applyFont="1" applyFill="1" applyBorder="1" applyAlignment="1">
      <alignment horizontal="right"/>
    </xf>
    <xf numFmtId="3" fontId="45" fillId="24" borderId="24" xfId="151" applyNumberFormat="1" applyFont="1" applyFill="1" applyBorder="1" applyAlignment="1">
      <alignment horizontal="right"/>
    </xf>
    <xf numFmtId="4" fontId="50" fillId="0" borderId="0" xfId="206" applyNumberFormat="1" applyFont="1" applyFill="1" applyBorder="1" applyAlignment="1" applyProtection="1">
      <alignment horizontal="right"/>
      <protection locked="0"/>
    </xf>
    <xf numFmtId="4" fontId="50" fillId="0" borderId="0" xfId="206" applyNumberFormat="1" applyFont="1" applyFill="1" applyBorder="1" applyAlignment="1" applyProtection="1">
      <alignment horizontal="right"/>
    </xf>
    <xf numFmtId="4" fontId="51" fillId="0" borderId="0" xfId="204" applyNumberFormat="1" applyFont="1" applyFill="1" applyBorder="1" applyAlignment="1">
      <alignment horizontal="left"/>
    </xf>
    <xf numFmtId="0" fontId="51" fillId="0" borderId="0" xfId="204" applyFont="1" applyFill="1" applyBorder="1" applyAlignment="1">
      <alignment horizontal="left"/>
    </xf>
    <xf numFmtId="3" fontId="49" fillId="26" borderId="17" xfId="151" applyNumberFormat="1" applyFont="1" applyFill="1" applyBorder="1" applyAlignment="1">
      <alignment horizontal="right" vertical="center"/>
    </xf>
    <xf numFmtId="10" fontId="45" fillId="0" borderId="10" xfId="151" applyNumberFormat="1" applyFont="1" applyBorder="1" applyAlignment="1">
      <alignment horizontal="center"/>
    </xf>
    <xf numFmtId="3" fontId="49" fillId="26" borderId="17" xfId="151" applyNumberFormat="1" applyFont="1" applyFill="1" applyBorder="1" applyAlignment="1">
      <alignment horizontal="right"/>
    </xf>
    <xf numFmtId="10" fontId="45" fillId="0" borderId="17" xfId="40" applyNumberFormat="1" applyFont="1" applyBorder="1" applyAlignment="1">
      <alignment horizontal="center"/>
    </xf>
    <xf numFmtId="10" fontId="45" fillId="0" borderId="18" xfId="40" applyNumberFormat="1" applyFont="1" applyBorder="1" applyAlignment="1">
      <alignment horizontal="center"/>
    </xf>
    <xf numFmtId="10" fontId="45" fillId="0" borderId="15" xfId="40" applyNumberFormat="1" applyFont="1" applyBorder="1" applyAlignment="1">
      <alignment horizontal="center"/>
    </xf>
    <xf numFmtId="10" fontId="45" fillId="0" borderId="10" xfId="40" applyNumberFormat="1" applyFont="1" applyBorder="1" applyAlignment="1">
      <alignment horizontal="center"/>
    </xf>
    <xf numFmtId="0" fontId="36" fillId="0" borderId="14" xfId="40" applyFont="1" applyBorder="1" applyAlignment="1">
      <alignment horizontal="left"/>
    </xf>
    <xf numFmtId="0" fontId="36" fillId="0" borderId="16" xfId="40" applyFont="1" applyBorder="1" applyAlignment="1">
      <alignment horizontal="left"/>
    </xf>
    <xf numFmtId="0" fontId="36" fillId="0" borderId="14" xfId="40" applyFont="1" applyBorder="1"/>
    <xf numFmtId="0" fontId="54" fillId="0" borderId="19" xfId="40" applyFont="1" applyBorder="1" applyAlignment="1">
      <alignment horizontal="center"/>
    </xf>
    <xf numFmtId="0" fontId="54" fillId="0" borderId="20" xfId="40" applyFont="1" applyBorder="1" applyAlignment="1">
      <alignment horizontal="center"/>
    </xf>
    <xf numFmtId="0" fontId="54" fillId="0" borderId="21" xfId="40" applyFont="1" applyBorder="1" applyAlignment="1">
      <alignment horizontal="center"/>
    </xf>
    <xf numFmtId="10" fontId="45" fillId="0" borderId="10" xfId="151" applyNumberFormat="1" applyFont="1" applyBorder="1" applyAlignment="1">
      <alignment horizontal="center"/>
    </xf>
    <xf numFmtId="3" fontId="5" fillId="0" borderId="10" xfId="151" applyNumberFormat="1" applyFont="1" applyBorder="1" applyAlignment="1">
      <alignment horizontal="center" vertical="center"/>
    </xf>
    <xf numFmtId="0" fontId="30" fillId="0" borderId="19" xfId="151" applyFont="1" applyBorder="1" applyAlignment="1">
      <alignment horizontal="center"/>
    </xf>
    <xf numFmtId="0" fontId="30" fillId="0" borderId="20" xfId="151" applyFont="1" applyBorder="1" applyAlignment="1">
      <alignment horizontal="center"/>
    </xf>
    <xf numFmtId="0" fontId="30" fillId="0" borderId="21" xfId="151" applyFont="1" applyBorder="1" applyAlignment="1">
      <alignment horizontal="center"/>
    </xf>
    <xf numFmtId="0" fontId="37" fillId="25" borderId="12" xfId="151" applyFont="1" applyFill="1" applyBorder="1" applyAlignment="1">
      <alignment horizontal="center" vertical="center"/>
    </xf>
    <xf numFmtId="0" fontId="37" fillId="25" borderId="13" xfId="151" applyFont="1" applyFill="1" applyBorder="1" applyAlignment="1">
      <alignment horizontal="center" vertical="center"/>
    </xf>
    <xf numFmtId="0" fontId="37" fillId="25" borderId="11" xfId="151" applyFont="1" applyFill="1" applyBorder="1" applyAlignment="1">
      <alignment horizontal="center" vertical="center" wrapText="1"/>
    </xf>
    <xf numFmtId="0" fontId="37" fillId="25" borderId="14" xfId="151" applyFont="1" applyFill="1" applyBorder="1" applyAlignment="1">
      <alignment horizontal="center" vertical="center" wrapText="1"/>
    </xf>
    <xf numFmtId="0" fontId="35" fillId="25" borderId="10" xfId="151" applyFont="1" applyFill="1" applyBorder="1" applyAlignment="1">
      <alignment horizontal="center"/>
    </xf>
    <xf numFmtId="3" fontId="45" fillId="0" borderId="10" xfId="151" applyNumberFormat="1" applyFont="1" applyBorder="1" applyAlignment="1">
      <alignment horizontal="center"/>
    </xf>
    <xf numFmtId="0" fontId="32" fillId="0" borderId="19" xfId="151" applyFont="1" applyBorder="1" applyAlignment="1">
      <alignment horizontal="center"/>
    </xf>
    <xf numFmtId="0" fontId="32" fillId="0" borderId="20" xfId="151" applyFont="1" applyBorder="1" applyAlignment="1">
      <alignment horizontal="center"/>
    </xf>
    <xf numFmtId="0" fontId="32" fillId="0" borderId="21" xfId="151" applyFont="1" applyBorder="1" applyAlignment="1">
      <alignment horizontal="center"/>
    </xf>
    <xf numFmtId="0" fontId="53" fillId="25" borderId="10" xfId="151" applyFont="1" applyFill="1" applyBorder="1" applyAlignment="1">
      <alignment horizontal="center" vertical="center"/>
    </xf>
    <xf numFmtId="0" fontId="54" fillId="0" borderId="19" xfId="151" applyFont="1" applyBorder="1" applyAlignment="1">
      <alignment horizontal="center"/>
    </xf>
    <xf numFmtId="0" fontId="54" fillId="0" borderId="20" xfId="151" applyFont="1" applyBorder="1" applyAlignment="1">
      <alignment horizontal="center"/>
    </xf>
    <xf numFmtId="0" fontId="54" fillId="0" borderId="21" xfId="151" applyFont="1" applyBorder="1" applyAlignment="1">
      <alignment horizontal="center"/>
    </xf>
    <xf numFmtId="0" fontId="53" fillId="25" borderId="10" xfId="151" applyFont="1" applyFill="1" applyBorder="1" applyAlignment="1">
      <alignment horizontal="center"/>
    </xf>
  </cellXfs>
  <cellStyles count="22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18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19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5"/>
    <cellStyle name="Normal 152 2" xfId="223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2"/>
    <cellStyle name="Normal 160 2" xfId="225"/>
    <cellStyle name="Normal 161" xfId="214"/>
    <cellStyle name="Normal 161 2" xfId="227"/>
    <cellStyle name="Normal 162" xfId="216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ální_Rezervy_prez_1_12_03" xfId="197"/>
    <cellStyle name="Normalno 2" xfId="206"/>
    <cellStyle name="Normalno 3" xfId="207"/>
    <cellStyle name="Note" xfId="198" builtinId="10" customBuiltin="1"/>
    <cellStyle name="Note 2" xfId="220"/>
    <cellStyle name="Obično 2" xfId="204"/>
    <cellStyle name="Obično 2 2" xfId="208"/>
    <cellStyle name="Obično 3" xfId="209"/>
    <cellStyle name="Obično 3 2" xfId="213"/>
    <cellStyle name="Obično 3 2 2" xfId="226"/>
    <cellStyle name="Obično 3 3" xfId="215"/>
    <cellStyle name="Obično 3 3 2" xfId="228"/>
    <cellStyle name="Obično 3 4" xfId="217"/>
    <cellStyle name="Obično 3 5" xfId="224"/>
    <cellStyle name="Obično 4" xfId="210"/>
    <cellStyle name="Obično_12a Izvjestaji drustava za osiguranje" xfId="211"/>
    <cellStyle name="Output" xfId="199" builtinId="21" customBuiltin="1"/>
    <cellStyle name="Output 2" xfId="221"/>
    <cellStyle name="Standard_0103_s Versicherung" xfId="200"/>
    <cellStyle name="Title" xfId="201" builtinId="15" customBuiltin="1"/>
    <cellStyle name="Total" xfId="202" builtinId="25" customBuiltin="1"/>
    <cellStyle name="Total 2" xfId="222"/>
    <cellStyle name="Warning Text" xfId="203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3120676668946474"/>
          <c:h val="0.86619718309860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Udio!$B$6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Udio!$C$5:$D$5</c:f>
              <c:strCache>
                <c:ptCount val="2"/>
                <c:pt idx="0">
                  <c:v>II K 2015.*</c:v>
                </c:pt>
                <c:pt idx="1">
                  <c:v>II K 2016.**</c:v>
                </c:pt>
              </c:strCache>
            </c:strRef>
          </c:cat>
          <c:val>
            <c:numRef>
              <c:f>Udio!$C$6:$D$6</c:f>
              <c:numCache>
                <c:formatCode>0.00%</c:formatCode>
                <c:ptCount val="2"/>
                <c:pt idx="0">
                  <c:v>0.42511873593869121</c:v>
                </c:pt>
                <c:pt idx="1">
                  <c:v>0.42543721097367571</c:v>
                </c:pt>
              </c:numCache>
            </c:numRef>
          </c:val>
        </c:ser>
        <c:ser>
          <c:idx val="1"/>
          <c:order val="1"/>
          <c:tx>
            <c:strRef>
              <c:f>Udio!$B$7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Udio!$C$5:$D$5</c:f>
              <c:strCache>
                <c:ptCount val="2"/>
                <c:pt idx="0">
                  <c:v>II K 2015.*</c:v>
                </c:pt>
                <c:pt idx="1">
                  <c:v>II K 2016.**</c:v>
                </c:pt>
              </c:strCache>
            </c:strRef>
          </c:cat>
          <c:val>
            <c:numRef>
              <c:f>Udio!$C$7:$D$7</c:f>
              <c:numCache>
                <c:formatCode>0.00%</c:formatCode>
                <c:ptCount val="2"/>
                <c:pt idx="0">
                  <c:v>0.6938759318275417</c:v>
                </c:pt>
                <c:pt idx="1">
                  <c:v>0.67714677050862615</c:v>
                </c:pt>
              </c:numCache>
            </c:numRef>
          </c:val>
        </c:ser>
        <c:ser>
          <c:idx val="2"/>
          <c:order val="2"/>
          <c:tx>
            <c:strRef>
              <c:f>Udio!$B$8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Udio!$C$5:$D$5</c:f>
              <c:strCache>
                <c:ptCount val="2"/>
                <c:pt idx="0">
                  <c:v>II K 2015.*</c:v>
                </c:pt>
                <c:pt idx="1">
                  <c:v>II K 2016.**</c:v>
                </c:pt>
              </c:strCache>
            </c:strRef>
          </c:cat>
          <c:val>
            <c:numRef>
              <c:f>Udio!$C$8:$D$8</c:f>
              <c:numCache>
                <c:formatCode>0.00%</c:formatCode>
                <c:ptCount val="2"/>
                <c:pt idx="0">
                  <c:v>0.10691836355292575</c:v>
                </c:pt>
                <c:pt idx="1">
                  <c:v>9.3121102815713105E-2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873216"/>
        <c:axId val="68399104"/>
        <c:axId val="0"/>
      </c:bar3DChart>
      <c:catAx>
        <c:axId val="668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8399104"/>
        <c:crosses val="autoZero"/>
        <c:auto val="1"/>
        <c:lblAlgn val="ctr"/>
        <c:lblOffset val="100"/>
        <c:noMultiLvlLbl val="0"/>
      </c:catAx>
      <c:valAx>
        <c:axId val="6839910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6873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08564204721472"/>
          <c:y val="0.14436612896024614"/>
          <c:w val="0.24172632676234795"/>
          <c:h val="0.6079812206572822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99" l="0.70000000000000062" r="0.70000000000000062" t="0.750000000000006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524E-2"/>
          <c:w val="0.74801732239219565"/>
          <c:h val="0.67041443708464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Životno'!$B$20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Životno'!$C$19:$E$19</c:f>
              <c:strCache>
                <c:ptCount val="2"/>
                <c:pt idx="0">
                  <c:v>II K 2015.*</c:v>
                </c:pt>
                <c:pt idx="1">
                  <c:v>II K 2016.**</c:v>
                </c:pt>
              </c:strCache>
            </c:strRef>
          </c:cat>
          <c:val>
            <c:numRef>
              <c:f>'HHI - Životno'!$C$20:$D$20</c:f>
              <c:numCache>
                <c:formatCode>0.00%</c:formatCode>
                <c:ptCount val="2"/>
                <c:pt idx="0">
                  <c:v>0.7741877079129279</c:v>
                </c:pt>
                <c:pt idx="1">
                  <c:v>0.76710361263024496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12640"/>
        <c:axId val="33416320"/>
      </c:barChart>
      <c:lineChart>
        <c:grouping val="standard"/>
        <c:varyColors val="0"/>
        <c:ser>
          <c:idx val="1"/>
          <c:order val="1"/>
          <c:tx>
            <c:strRef>
              <c:f>'HHI - Životno'!$B$21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7034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52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Životno'!$C$19:$E$19</c:f>
              <c:strCache>
                <c:ptCount val="2"/>
                <c:pt idx="0">
                  <c:v>II K 2015.*</c:v>
                </c:pt>
                <c:pt idx="1">
                  <c:v>II K 2016.**</c:v>
                </c:pt>
              </c:strCache>
            </c:strRef>
          </c:cat>
          <c:val>
            <c:numRef>
              <c:f>'HHI - Životno'!$C$21:$D$21</c:f>
              <c:numCache>
                <c:formatCode>#,##0</c:formatCode>
                <c:ptCount val="2"/>
                <c:pt idx="0">
                  <c:v>1718.6239481302853</c:v>
                </c:pt>
                <c:pt idx="1">
                  <c:v>1702.0924670038146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7856"/>
        <c:axId val="43446656"/>
      </c:lineChart>
      <c:catAx>
        <c:axId val="1017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3416320"/>
        <c:crosses val="autoZero"/>
        <c:auto val="1"/>
        <c:lblAlgn val="ctr"/>
        <c:lblOffset val="100"/>
        <c:noMultiLvlLbl val="0"/>
      </c:catAx>
      <c:valAx>
        <c:axId val="33416320"/>
        <c:scaling>
          <c:orientation val="minMax"/>
          <c:max val="0.85000000000000109"/>
          <c:min val="0.75000000000000111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1712640"/>
        <c:crosses val="autoZero"/>
        <c:crossBetween val="between"/>
      </c:valAx>
      <c:catAx>
        <c:axId val="3341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3446656"/>
        <c:crosses val="autoZero"/>
        <c:auto val="1"/>
        <c:lblAlgn val="ctr"/>
        <c:lblOffset val="100"/>
        <c:noMultiLvlLbl val="0"/>
      </c:catAx>
      <c:valAx>
        <c:axId val="43446656"/>
        <c:scaling>
          <c:orientation val="minMax"/>
          <c:max val="1850"/>
          <c:min val="16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3417856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3343"/>
          <c:w val="0.88889061122468505"/>
          <c:h val="6.741597691353952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88" l="0.70000000000000062" r="0.70000000000000062" t="0.750000000000009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745E-2"/>
          <c:y val="6.0000195313135794E-2"/>
          <c:w val="0.75984990619138226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Neživotno'!$B$35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Neživotno'!$C$34:$D$34</c:f>
              <c:strCache>
                <c:ptCount val="2"/>
                <c:pt idx="0">
                  <c:v>II K 2015.*</c:v>
                </c:pt>
                <c:pt idx="1">
                  <c:v>II K 2016.**</c:v>
                </c:pt>
              </c:strCache>
            </c:strRef>
          </c:cat>
          <c:val>
            <c:numRef>
              <c:f>'HHI - Neživotno'!$C$35:$D$35</c:f>
              <c:numCache>
                <c:formatCode>0.00%</c:formatCode>
                <c:ptCount val="2"/>
                <c:pt idx="0">
                  <c:v>0.40270844657258303</c:v>
                </c:pt>
                <c:pt idx="1">
                  <c:v>0.3838450696775802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22464"/>
        <c:axId val="47485696"/>
      </c:barChart>
      <c:lineChart>
        <c:grouping val="stacked"/>
        <c:varyColors val="0"/>
        <c:ser>
          <c:idx val="1"/>
          <c:order val="1"/>
          <c:tx>
            <c:strRef>
              <c:f>'HHI - Neživotno'!$B$36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8175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718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Neživotno'!$C$34:$D$34</c:f>
              <c:strCache>
                <c:ptCount val="2"/>
                <c:pt idx="0">
                  <c:v>II K 2015.*</c:v>
                </c:pt>
                <c:pt idx="1">
                  <c:v>II K 2016.**</c:v>
                </c:pt>
              </c:strCache>
            </c:strRef>
          </c:cat>
          <c:val>
            <c:numRef>
              <c:f>'HHI - Neživotno'!$C$36:$D$36</c:f>
              <c:numCache>
                <c:formatCode>#,##0</c:formatCode>
                <c:ptCount val="2"/>
                <c:pt idx="0">
                  <c:v>662.50338551623292</c:v>
                </c:pt>
                <c:pt idx="1">
                  <c:v>621.73053045221866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87232"/>
        <c:axId val="58769408"/>
      </c:lineChart>
      <c:catAx>
        <c:axId val="4742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7485696"/>
        <c:crossesAt val="0.35000000000000031"/>
        <c:auto val="1"/>
        <c:lblAlgn val="ctr"/>
        <c:lblOffset val="100"/>
        <c:noMultiLvlLbl val="0"/>
      </c:catAx>
      <c:valAx>
        <c:axId val="47485696"/>
        <c:scaling>
          <c:orientation val="minMax"/>
          <c:max val="0.5"/>
          <c:min val="0.35000000000000003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7422464"/>
        <c:crosses val="autoZero"/>
        <c:crossBetween val="between"/>
      </c:valAx>
      <c:catAx>
        <c:axId val="47487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769408"/>
        <c:crosses val="autoZero"/>
        <c:auto val="1"/>
        <c:lblAlgn val="ctr"/>
        <c:lblOffset val="100"/>
        <c:noMultiLvlLbl val="0"/>
      </c:catAx>
      <c:valAx>
        <c:axId val="58769408"/>
        <c:scaling>
          <c:orientation val="minMax"/>
          <c:max val="750"/>
          <c:min val="45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47487232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088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685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Ukupno'!$B$35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Ukupno'!$C$34:$E$34</c:f>
              <c:strCache>
                <c:ptCount val="2"/>
                <c:pt idx="0">
                  <c:v>II K 2015.*</c:v>
                </c:pt>
                <c:pt idx="1">
                  <c:v>II K 2016.**</c:v>
                </c:pt>
              </c:strCache>
            </c:strRef>
          </c:cat>
          <c:val>
            <c:numRef>
              <c:f>'HHI - Ukupno'!$C$35:$D$35</c:f>
              <c:numCache>
                <c:formatCode>0.00%</c:formatCode>
                <c:ptCount val="2"/>
                <c:pt idx="0">
                  <c:v>0.35732605006912671</c:v>
                </c:pt>
                <c:pt idx="1">
                  <c:v>0.34850454784018597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41728"/>
        <c:axId val="66146688"/>
      </c:barChart>
      <c:lineChart>
        <c:grouping val="stacked"/>
        <c:varyColors val="0"/>
        <c:ser>
          <c:idx val="1"/>
          <c:order val="1"/>
          <c:tx>
            <c:strRef>
              <c:f>'HHI - Ukupno'!$B$36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822E-2"/>
                  <c:y val="-4.2269677946382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428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Ukupno'!$C$34:$D$34</c:f>
              <c:strCache>
                <c:ptCount val="2"/>
                <c:pt idx="0">
                  <c:v>II K 2015.*</c:v>
                </c:pt>
                <c:pt idx="1">
                  <c:v>II K 2016.**</c:v>
                </c:pt>
              </c:strCache>
            </c:strRef>
          </c:cat>
          <c:val>
            <c:numRef>
              <c:f>'HHI - Ukupno'!$C$36:$D$36</c:f>
              <c:numCache>
                <c:formatCode>#,##0</c:formatCode>
                <c:ptCount val="2"/>
                <c:pt idx="0" formatCode="0">
                  <c:v>595.46151697512869</c:v>
                </c:pt>
                <c:pt idx="1">
                  <c:v>577.0513861646649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48224"/>
        <c:axId val="66149760"/>
      </c:lineChart>
      <c:catAx>
        <c:axId val="5884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6146688"/>
        <c:crossesAt val="0.30000000000000032"/>
        <c:auto val="1"/>
        <c:lblAlgn val="ctr"/>
        <c:lblOffset val="100"/>
        <c:noMultiLvlLbl val="0"/>
      </c:catAx>
      <c:valAx>
        <c:axId val="66146688"/>
        <c:scaling>
          <c:orientation val="minMax"/>
          <c:max val="0.5"/>
          <c:min val="0.3000000000000003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8841728"/>
        <c:crosses val="autoZero"/>
        <c:crossBetween val="between"/>
        <c:majorUnit val="0.05"/>
        <c:minorUnit val="1.0000000000000005E-2"/>
      </c:valAx>
      <c:catAx>
        <c:axId val="66148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149760"/>
        <c:crossesAt val="500"/>
        <c:auto val="1"/>
        <c:lblAlgn val="ctr"/>
        <c:lblOffset val="100"/>
        <c:noMultiLvlLbl val="0"/>
      </c:catAx>
      <c:valAx>
        <c:axId val="66149760"/>
        <c:scaling>
          <c:orientation val="minMax"/>
          <c:max val="650"/>
          <c:min val="500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6148224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4906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</xdr:row>
      <xdr:rowOff>19050</xdr:rowOff>
    </xdr:from>
    <xdr:to>
      <xdr:col>2</xdr:col>
      <xdr:colOff>1038225</xdr:colOff>
      <xdr:row>25</xdr:row>
      <xdr:rowOff>28575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23</xdr:row>
      <xdr:rowOff>38099</xdr:rowOff>
    </xdr:from>
    <xdr:to>
      <xdr:col>5</xdr:col>
      <xdr:colOff>5002</xdr:colOff>
      <xdr:row>42</xdr:row>
      <xdr:rowOff>152399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38</xdr:row>
      <xdr:rowOff>19050</xdr:rowOff>
    </xdr:from>
    <xdr:to>
      <xdr:col>4</xdr:col>
      <xdr:colOff>495300</xdr:colOff>
      <xdr:row>54</xdr:row>
      <xdr:rowOff>190500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38</xdr:row>
      <xdr:rowOff>19050</xdr:rowOff>
    </xdr:from>
    <xdr:to>
      <xdr:col>4</xdr:col>
      <xdr:colOff>495300</xdr:colOff>
      <xdr:row>55</xdr:row>
      <xdr:rowOff>9525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0"/>
  <sheetViews>
    <sheetView showGridLines="0" tabSelected="1" showRuler="0" view="pageLayout" zoomScaleNormal="100" workbookViewId="0">
      <selection activeCell="B3" sqref="B3:D3"/>
    </sheetView>
  </sheetViews>
  <sheetFormatPr defaultColWidth="10.42578125" defaultRowHeight="12.75" x14ac:dyDescent="0.2"/>
  <cols>
    <col min="1" max="1" width="3" style="1" customWidth="1"/>
    <col min="2" max="2" width="37.7109375" style="1" customWidth="1"/>
    <col min="3" max="3" width="15.7109375" style="1" customWidth="1"/>
    <col min="4" max="4" width="16" style="1" customWidth="1"/>
    <col min="5" max="16384" width="10.42578125" style="1"/>
  </cols>
  <sheetData>
    <row r="3" spans="2:4" ht="15.75" x14ac:dyDescent="0.25">
      <c r="B3" s="146" t="s">
        <v>32</v>
      </c>
      <c r="C3" s="147"/>
      <c r="D3" s="148"/>
    </row>
    <row r="4" spans="2:4" ht="13.5" thickBot="1" x14ac:dyDescent="0.25"/>
    <row r="5" spans="2:4" ht="26.25" customHeight="1" x14ac:dyDescent="0.2">
      <c r="B5" s="23" t="s">
        <v>23</v>
      </c>
      <c r="C5" s="24" t="s">
        <v>30</v>
      </c>
      <c r="D5" s="25" t="s">
        <v>31</v>
      </c>
    </row>
    <row r="6" spans="2:4" ht="15" x14ac:dyDescent="0.25">
      <c r="B6" s="145" t="s">
        <v>38</v>
      </c>
      <c r="C6" s="142">
        <f>('HHI - Ukupno'!D6+'HHI - Ukupno'!D7+'HHI - Ukupno'!D8+'HHI - Ukupno'!D9+'HHI - Ukupno'!D13)/100</f>
        <v>0.42511873593869121</v>
      </c>
      <c r="D6" s="141">
        <f>('HHI - Ukupno'!G6+'HHI - Ukupno'!G7+'HHI - Ukupno'!G8+'HHI - Ukupno'!G9+'HHI - Ukupno'!G10)/100</f>
        <v>0.42543721097367571</v>
      </c>
    </row>
    <row r="7" spans="2:4" ht="15" x14ac:dyDescent="0.25">
      <c r="B7" s="143" t="s">
        <v>39</v>
      </c>
      <c r="C7" s="142">
        <f>SUM('HHI - Ukupno'!D6:D15)/100</f>
        <v>0.6938759318275417</v>
      </c>
      <c r="D7" s="141">
        <f>SUM('HHI - Ukupno'!G6:G15)/100</f>
        <v>0.67714677050862615</v>
      </c>
    </row>
    <row r="8" spans="2:4" ht="15.75" thickBot="1" x14ac:dyDescent="0.3">
      <c r="B8" s="144" t="s">
        <v>22</v>
      </c>
      <c r="C8" s="139">
        <f>'HHI - Ukupno'!D7/100</f>
        <v>0.10691836355292575</v>
      </c>
      <c r="D8" s="140">
        <f>'HHI - Ukupno'!G6/100</f>
        <v>9.3121102815713105E-2</v>
      </c>
    </row>
    <row r="28" spans="2:7" x14ac:dyDescent="0.2">
      <c r="B28" s="29" t="s">
        <v>40</v>
      </c>
      <c r="G28" s="26"/>
    </row>
    <row r="30" spans="2:7" x14ac:dyDescent="0.2">
      <c r="B30" s="29" t="s">
        <v>41</v>
      </c>
    </row>
  </sheetData>
  <mergeCells count="1">
    <mergeCell ref="B3:D3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30.06.2016. godine.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7"/>
  <sheetViews>
    <sheetView showGridLines="0" showRuler="0" view="pageLayout" zoomScaleNormal="100" workbookViewId="0">
      <selection activeCell="B2" sqref="B2:H2"/>
    </sheetView>
  </sheetViews>
  <sheetFormatPr defaultColWidth="10.42578125" defaultRowHeight="12.75" x14ac:dyDescent="0.2"/>
  <cols>
    <col min="1" max="1" width="3.5703125" style="2" customWidth="1"/>
    <col min="2" max="2" width="29.42578125" style="2" customWidth="1"/>
    <col min="3" max="3" width="16.7109375" style="2" customWidth="1"/>
    <col min="4" max="4" width="8.28515625" style="2" customWidth="1"/>
    <col min="5" max="5" width="7.5703125" style="2" customWidth="1"/>
    <col min="6" max="6" width="16.7109375" style="2" customWidth="1"/>
    <col min="7" max="7" width="7.85546875" style="2" customWidth="1"/>
    <col min="8" max="8" width="7.5703125" style="2" customWidth="1"/>
    <col min="9" max="9" width="8.28515625" style="2" bestFit="1" customWidth="1"/>
    <col min="10" max="10" width="7.28515625" style="2" bestFit="1" customWidth="1"/>
    <col min="11" max="11" width="12.7109375" style="2" bestFit="1" customWidth="1"/>
    <col min="12" max="12" width="10.5703125" style="2" bestFit="1" customWidth="1"/>
    <col min="13" max="13" width="11.7109375" style="2" bestFit="1" customWidth="1"/>
    <col min="14" max="14" width="12.7109375" style="2" bestFit="1" customWidth="1"/>
    <col min="15" max="15" width="11.7109375" style="2" bestFit="1" customWidth="1"/>
    <col min="16" max="17" width="10.5703125" style="2" bestFit="1" customWidth="1"/>
    <col min="18" max="18" width="11.7109375" style="2" bestFit="1" customWidth="1"/>
    <col min="19" max="19" width="11.28515625" style="2" bestFit="1" customWidth="1"/>
    <col min="20" max="20" width="11.7109375" style="2" bestFit="1" customWidth="1"/>
    <col min="21" max="21" width="11.28515625" style="2" bestFit="1" customWidth="1"/>
    <col min="22" max="16384" width="10.42578125" style="2"/>
  </cols>
  <sheetData>
    <row r="1" spans="2:10" ht="15.75" customHeight="1" x14ac:dyDescent="0.2"/>
    <row r="2" spans="2:10" ht="15.75" x14ac:dyDescent="0.25">
      <c r="B2" s="151" t="s">
        <v>33</v>
      </c>
      <c r="C2" s="152"/>
      <c r="D2" s="152"/>
      <c r="E2" s="152"/>
      <c r="F2" s="152"/>
      <c r="G2" s="152"/>
      <c r="H2" s="153"/>
      <c r="I2" s="4"/>
    </row>
    <row r="3" spans="2:10" ht="16.5" thickBot="1" x14ac:dyDescent="0.3">
      <c r="B3" s="32"/>
      <c r="C3" s="4"/>
      <c r="D3" s="4"/>
      <c r="E3" s="4"/>
      <c r="F3" s="4"/>
      <c r="G3" s="4"/>
      <c r="H3" s="4"/>
      <c r="I3" s="4"/>
    </row>
    <row r="4" spans="2:10" ht="15.75" x14ac:dyDescent="0.25">
      <c r="B4" s="156" t="s">
        <v>43</v>
      </c>
      <c r="C4" s="154" t="s">
        <v>30</v>
      </c>
      <c r="D4" s="154"/>
      <c r="E4" s="154"/>
      <c r="F4" s="154" t="s">
        <v>31</v>
      </c>
      <c r="G4" s="154"/>
      <c r="H4" s="155"/>
      <c r="I4" s="4"/>
    </row>
    <row r="5" spans="2:10" ht="42" customHeight="1" x14ac:dyDescent="0.25">
      <c r="B5" s="157"/>
      <c r="C5" s="12" t="s">
        <v>42</v>
      </c>
      <c r="D5" s="12" t="s">
        <v>1</v>
      </c>
      <c r="E5" s="13" t="s">
        <v>0</v>
      </c>
      <c r="F5" s="12" t="s">
        <v>42</v>
      </c>
      <c r="G5" s="12" t="s">
        <v>1</v>
      </c>
      <c r="H5" s="14" t="s">
        <v>0</v>
      </c>
      <c r="I5" s="4"/>
    </row>
    <row r="6" spans="2:10" ht="15.75" x14ac:dyDescent="0.25">
      <c r="B6" s="35" t="s">
        <v>4</v>
      </c>
      <c r="C6" s="125">
        <f>13771941.26/1000</f>
        <v>13771.94126</v>
      </c>
      <c r="D6" s="54">
        <f t="shared" ref="D6:D15" si="0">C6/C$16*100</f>
        <v>23.249463002556599</v>
      </c>
      <c r="E6" s="55">
        <f>D6^2</f>
        <v>540.53752990724809</v>
      </c>
      <c r="F6" s="125">
        <f>15856060.76/1000</f>
        <v>15856.06076</v>
      </c>
      <c r="G6" s="15">
        <f t="shared" ref="G6:G15" si="1">F6/F$16*100</f>
        <v>25.381936011922846</v>
      </c>
      <c r="H6" s="16">
        <f>G6^2</f>
        <v>644.24267571334588</v>
      </c>
      <c r="I6" s="4"/>
      <c r="J6" s="29" t="s">
        <v>40</v>
      </c>
    </row>
    <row r="7" spans="2:10" ht="15.75" x14ac:dyDescent="0.25">
      <c r="B7" s="35" t="s">
        <v>3</v>
      </c>
      <c r="C7" s="125">
        <f>14407241.4/1000</f>
        <v>14407.241400000001</v>
      </c>
      <c r="D7" s="54">
        <f t="shared" si="0"/>
        <v>24.321961557524229</v>
      </c>
      <c r="E7" s="55">
        <f>D7^2</f>
        <v>591.5578140056864</v>
      </c>
      <c r="F7" s="127">
        <f>13456022.15/1000</f>
        <v>13456.022150000001</v>
      </c>
      <c r="G7" s="15">
        <f t="shared" si="1"/>
        <v>21.540021721404937</v>
      </c>
      <c r="H7" s="16">
        <f>G7^2</f>
        <v>463.97253575859651</v>
      </c>
      <c r="I7" s="4"/>
    </row>
    <row r="8" spans="2:10" ht="15.75" x14ac:dyDescent="0.25">
      <c r="B8" s="35" t="s">
        <v>5</v>
      </c>
      <c r="C8" s="125">
        <f>10966102.21/1000</f>
        <v>10966.102210000001</v>
      </c>
      <c r="D8" s="54">
        <f t="shared" si="0"/>
        <v>18.512712391110593</v>
      </c>
      <c r="E8" s="55">
        <f>D8^2</f>
        <v>342.72052007597972</v>
      </c>
      <c r="F8" s="125">
        <f>11544227.9/1000</f>
        <v>11544.2279</v>
      </c>
      <c r="G8" s="15">
        <f t="shared" si="1"/>
        <v>18.479675267393112</v>
      </c>
      <c r="H8" s="16">
        <f>G8^2</f>
        <v>341.49839798830072</v>
      </c>
      <c r="I8" s="4"/>
      <c r="J8" s="29" t="s">
        <v>41</v>
      </c>
    </row>
    <row r="9" spans="2:10" ht="15.75" x14ac:dyDescent="0.25">
      <c r="B9" s="36" t="s">
        <v>6</v>
      </c>
      <c r="C9" s="125">
        <f>6714129.76/1000</f>
        <v>6714.1297599999998</v>
      </c>
      <c r="D9" s="54">
        <f t="shared" si="0"/>
        <v>11.334633840101365</v>
      </c>
      <c r="E9" s="55">
        <f>D9^2</f>
        <v>128.47392428917101</v>
      </c>
      <c r="F9" s="125">
        <f>7064547.1/1000</f>
        <v>7064.5470999999998</v>
      </c>
      <c r="G9" s="15">
        <f t="shared" si="1"/>
        <v>11.3087282623036</v>
      </c>
      <c r="H9" s="16">
        <f>G9^2</f>
        <v>127.88733491062419</v>
      </c>
      <c r="I9" s="4"/>
    </row>
    <row r="10" spans="2:10" ht="15.75" x14ac:dyDescent="0.25">
      <c r="B10" s="35" t="s">
        <v>8</v>
      </c>
      <c r="C10" s="126">
        <f>3936400.1/1000</f>
        <v>3936.4001000000003</v>
      </c>
      <c r="D10" s="17">
        <f t="shared" si="0"/>
        <v>6.6453368309102219</v>
      </c>
      <c r="E10" s="55">
        <f t="shared" ref="E10:E15" si="2">D10^2</f>
        <v>44.160501596251912</v>
      </c>
      <c r="F10" s="125">
        <f>4958592.21/1000</f>
        <v>4958.5922099999998</v>
      </c>
      <c r="G10" s="17">
        <f t="shared" si="1"/>
        <v>7.9375749177842501</v>
      </c>
      <c r="H10" s="16">
        <f t="shared" ref="H10:H15" si="3">G10^2</f>
        <v>63.005095575437643</v>
      </c>
      <c r="I10" s="4"/>
      <c r="J10" s="29" t="s">
        <v>44</v>
      </c>
    </row>
    <row r="11" spans="2:10" ht="15.75" x14ac:dyDescent="0.25">
      <c r="B11" s="35" t="s">
        <v>7</v>
      </c>
      <c r="C11" s="125">
        <f>3766543.53/1000</f>
        <v>3766.5435299999999</v>
      </c>
      <c r="D11" s="17">
        <f t="shared" si="0"/>
        <v>6.3585890177006128</v>
      </c>
      <c r="E11" s="55">
        <f t="shared" si="2"/>
        <v>40.431654296022842</v>
      </c>
      <c r="F11" s="125">
        <f>3647289.36/1000</f>
        <v>3647.2893599999998</v>
      </c>
      <c r="G11" s="17">
        <f t="shared" si="1"/>
        <v>5.8384782042476875</v>
      </c>
      <c r="H11" s="16">
        <f t="shared" si="3"/>
        <v>34.087827741475301</v>
      </c>
      <c r="I11" s="4"/>
      <c r="J11" s="2" t="s">
        <v>46</v>
      </c>
    </row>
    <row r="12" spans="2:10" ht="15.75" x14ac:dyDescent="0.25">
      <c r="B12" s="35" t="s">
        <v>25</v>
      </c>
      <c r="C12" s="126">
        <f>2560064.83/1000</f>
        <v>2560.0648300000003</v>
      </c>
      <c r="D12" s="17">
        <f t="shared" si="0"/>
        <v>4.3218404308842784</v>
      </c>
      <c r="E12" s="55">
        <f t="shared" si="2"/>
        <v>18.678304710026005</v>
      </c>
      <c r="F12" s="125">
        <f>2145166.29/1000</f>
        <v>2145.1662900000001</v>
      </c>
      <c r="G12" s="17">
        <f t="shared" si="1"/>
        <v>3.4339218505690141</v>
      </c>
      <c r="H12" s="16">
        <f t="shared" si="3"/>
        <v>11.791819275815323</v>
      </c>
      <c r="I12" s="4"/>
    </row>
    <row r="13" spans="2:10" ht="15.75" x14ac:dyDescent="0.25">
      <c r="B13" s="35" t="s">
        <v>26</v>
      </c>
      <c r="C13" s="126">
        <f>1779556.36/1000</f>
        <v>1779.55636</v>
      </c>
      <c r="D13" s="17">
        <f t="shared" si="0"/>
        <v>3.0042046340229818</v>
      </c>
      <c r="E13" s="55">
        <f t="shared" si="2"/>
        <v>9.0252454830851576</v>
      </c>
      <c r="F13" s="125">
        <f>1856637.77/1000</f>
        <v>1856.63777</v>
      </c>
      <c r="G13" s="17">
        <f t="shared" si="1"/>
        <v>2.9720535124550773</v>
      </c>
      <c r="H13" s="16">
        <f t="shared" si="3"/>
        <v>8.8331020808965626</v>
      </c>
      <c r="I13" s="4"/>
      <c r="J13" s="29"/>
    </row>
    <row r="14" spans="2:10" ht="15.75" x14ac:dyDescent="0.25">
      <c r="B14" s="44" t="s">
        <v>27</v>
      </c>
      <c r="C14" s="126">
        <f>964241.96/1000</f>
        <v>964.24195999999995</v>
      </c>
      <c r="D14" s="17">
        <f t="shared" si="0"/>
        <v>1.6278102956803246</v>
      </c>
      <c r="E14" s="55">
        <f t="shared" si="2"/>
        <v>2.6497663587228661</v>
      </c>
      <c r="F14" s="125">
        <f>1586718.15/1000</f>
        <v>1586.7181499999999</v>
      </c>
      <c r="G14" s="17">
        <f t="shared" si="1"/>
        <v>2.539973777967321</v>
      </c>
      <c r="H14" s="16">
        <f t="shared" si="3"/>
        <v>6.4514667927615861</v>
      </c>
      <c r="I14" s="4"/>
      <c r="J14" s="29"/>
    </row>
    <row r="15" spans="2:10" ht="15.75" x14ac:dyDescent="0.25">
      <c r="B15" s="35" t="s">
        <v>9</v>
      </c>
      <c r="C15" s="126">
        <f>369302.69/1000</f>
        <v>369.30268999999998</v>
      </c>
      <c r="D15" s="17">
        <f t="shared" si="0"/>
        <v>0.6234479995087947</v>
      </c>
      <c r="E15" s="55">
        <f t="shared" si="2"/>
        <v>0.38868740809151808</v>
      </c>
      <c r="F15" s="125">
        <f>354601.73/1000</f>
        <v>354.60172999999998</v>
      </c>
      <c r="G15" s="17">
        <f t="shared" si="1"/>
        <v>0.56763647395213068</v>
      </c>
      <c r="H15" s="16">
        <f t="shared" si="3"/>
        <v>0.32221116656080795</v>
      </c>
      <c r="I15" s="4"/>
    </row>
    <row r="16" spans="2:10" ht="16.5" thickBot="1" x14ac:dyDescent="0.3">
      <c r="B16" s="18" t="s">
        <v>2</v>
      </c>
      <c r="C16" s="138">
        <f t="shared" ref="C16:H16" si="4">SUM(C6:C15)</f>
        <v>59235.524100000002</v>
      </c>
      <c r="D16" s="20">
        <f t="shared" si="4"/>
        <v>100</v>
      </c>
      <c r="E16" s="19">
        <f t="shared" si="4"/>
        <v>1718.6239481302853</v>
      </c>
      <c r="F16" s="138">
        <f t="shared" si="4"/>
        <v>62469.863420000016</v>
      </c>
      <c r="G16" s="20">
        <f t="shared" si="4"/>
        <v>99.999999999999986</v>
      </c>
      <c r="H16" s="27">
        <f t="shared" si="4"/>
        <v>1702.0924670038146</v>
      </c>
      <c r="I16" s="4"/>
    </row>
    <row r="17" spans="2:24" ht="15.75" x14ac:dyDescent="0.25">
      <c r="B17" s="4"/>
      <c r="C17" s="4"/>
      <c r="D17" s="4"/>
      <c r="E17" s="4"/>
      <c r="F17" s="4"/>
      <c r="G17" s="4"/>
      <c r="H17" s="4"/>
      <c r="I17" s="4"/>
    </row>
    <row r="18" spans="2:24" ht="15.75" x14ac:dyDescent="0.25">
      <c r="B18" s="5"/>
      <c r="D18" s="4"/>
      <c r="E18" s="4"/>
      <c r="F18" s="73"/>
      <c r="G18" s="4"/>
      <c r="H18" s="124"/>
      <c r="I18" s="4"/>
    </row>
    <row r="19" spans="2:24" ht="15.75" x14ac:dyDescent="0.25">
      <c r="B19" s="60"/>
      <c r="C19" s="61" t="s">
        <v>30</v>
      </c>
      <c r="D19" s="158" t="s">
        <v>31</v>
      </c>
      <c r="E19" s="158"/>
      <c r="F19" s="9"/>
      <c r="H19" s="4"/>
      <c r="J19" s="104"/>
      <c r="K19" s="4"/>
      <c r="L19" s="28"/>
      <c r="M19" s="4"/>
      <c r="X19" s="4"/>
    </row>
    <row r="20" spans="2:24" ht="15.75" x14ac:dyDescent="0.25">
      <c r="B20" s="53" t="s">
        <v>24</v>
      </c>
      <c r="C20" s="137">
        <f>SUM(D6:D9)/100</f>
        <v>0.7741877079129279</v>
      </c>
      <c r="D20" s="149">
        <f>SUM(G6:G9)/100</f>
        <v>0.76710361263024496</v>
      </c>
      <c r="E20" s="149"/>
      <c r="F20" s="9"/>
      <c r="G20" s="57"/>
      <c r="H20" s="4"/>
      <c r="I20" s="98"/>
      <c r="J20" s="104"/>
      <c r="K20" s="99"/>
      <c r="L20" s="99"/>
      <c r="M20" s="99"/>
      <c r="N20" s="100"/>
      <c r="O20" s="99"/>
      <c r="P20" s="99"/>
      <c r="Q20" s="99"/>
      <c r="R20" s="100"/>
      <c r="S20" s="101"/>
      <c r="T20" s="102"/>
      <c r="U20" s="101"/>
      <c r="X20" s="4"/>
    </row>
    <row r="21" spans="2:24" ht="15.75" x14ac:dyDescent="0.25">
      <c r="B21" s="53" t="s">
        <v>0</v>
      </c>
      <c r="C21" s="63">
        <f>E16</f>
        <v>1718.6239481302853</v>
      </c>
      <c r="D21" s="150">
        <f>H16</f>
        <v>1702.0924670038146</v>
      </c>
      <c r="E21" s="150"/>
      <c r="F21" s="58"/>
      <c r="G21" s="58"/>
      <c r="H21" s="29"/>
      <c r="I21" s="98"/>
      <c r="J21" s="104"/>
      <c r="K21" s="99"/>
      <c r="L21" s="99"/>
      <c r="M21" s="99"/>
      <c r="N21" s="100"/>
      <c r="O21" s="99"/>
      <c r="P21" s="99"/>
      <c r="Q21" s="99"/>
      <c r="R21" s="100"/>
      <c r="S21" s="101"/>
      <c r="T21" s="102"/>
      <c r="U21" s="101"/>
      <c r="X21" s="4"/>
    </row>
    <row r="22" spans="2:24" ht="13.5" x14ac:dyDescent="0.25">
      <c r="I22" s="98"/>
      <c r="J22" s="103"/>
      <c r="K22" s="99"/>
      <c r="L22" s="99"/>
      <c r="M22" s="99"/>
      <c r="N22" s="100"/>
      <c r="O22" s="99"/>
      <c r="P22" s="99"/>
      <c r="Q22" s="99"/>
      <c r="R22" s="100"/>
      <c r="S22" s="101"/>
      <c r="T22" s="102"/>
      <c r="U22" s="101"/>
    </row>
    <row r="23" spans="2:24" ht="13.5" x14ac:dyDescent="0.25">
      <c r="I23" s="98"/>
      <c r="J23" s="103"/>
      <c r="K23" s="99"/>
      <c r="L23" s="99"/>
      <c r="M23" s="99"/>
      <c r="N23" s="100"/>
      <c r="O23" s="99"/>
      <c r="P23" s="99"/>
      <c r="Q23" s="99"/>
      <c r="R23" s="100"/>
      <c r="S23" s="101"/>
      <c r="T23" s="102"/>
      <c r="U23" s="101"/>
      <c r="X23" s="34"/>
    </row>
    <row r="24" spans="2:24" ht="13.5" x14ac:dyDescent="0.25">
      <c r="I24" s="98"/>
      <c r="J24" s="103"/>
      <c r="K24" s="99"/>
      <c r="L24" s="99"/>
      <c r="M24" s="99"/>
      <c r="N24" s="100"/>
      <c r="O24" s="99"/>
      <c r="P24" s="99"/>
      <c r="Q24" s="99"/>
      <c r="R24" s="100"/>
      <c r="S24" s="101"/>
      <c r="T24" s="102"/>
      <c r="U24" s="101"/>
    </row>
    <row r="25" spans="2:24" ht="13.5" x14ac:dyDescent="0.25">
      <c r="F25" s="9"/>
      <c r="I25" s="98"/>
      <c r="J25" s="103"/>
      <c r="K25" s="99"/>
      <c r="L25" s="99"/>
      <c r="M25" s="99"/>
      <c r="N25" s="100"/>
      <c r="O25" s="99"/>
      <c r="P25" s="99"/>
      <c r="Q25" s="99"/>
      <c r="R25" s="100"/>
      <c r="S25" s="101"/>
      <c r="T25" s="102"/>
      <c r="U25" s="101"/>
    </row>
    <row r="26" spans="2:24" ht="13.5" x14ac:dyDescent="0.25">
      <c r="F26" s="9"/>
      <c r="I26" s="98"/>
      <c r="J26" s="103"/>
      <c r="K26" s="99"/>
      <c r="L26" s="99"/>
      <c r="M26" s="99"/>
      <c r="N26" s="100"/>
      <c r="O26" s="99"/>
      <c r="P26" s="99"/>
      <c r="Q26" s="99"/>
      <c r="R26" s="100"/>
      <c r="S26" s="101"/>
      <c r="T26" s="102"/>
      <c r="U26" s="101"/>
    </row>
    <row r="27" spans="2:24" ht="13.5" x14ac:dyDescent="0.25">
      <c r="F27" s="9"/>
      <c r="I27" s="98"/>
      <c r="J27" s="103"/>
      <c r="K27" s="99"/>
      <c r="L27" s="99"/>
      <c r="M27" s="99"/>
      <c r="N27" s="100"/>
      <c r="O27" s="99"/>
      <c r="P27" s="99"/>
      <c r="Q27" s="99"/>
      <c r="R27" s="100"/>
      <c r="S27" s="101"/>
      <c r="T27" s="102"/>
      <c r="U27" s="101"/>
    </row>
    <row r="28" spans="2:24" ht="13.5" x14ac:dyDescent="0.25">
      <c r="F28" s="9"/>
      <c r="I28" s="98"/>
      <c r="J28" s="103"/>
      <c r="K28" s="99"/>
      <c r="L28" s="99"/>
      <c r="M28" s="99"/>
      <c r="N28" s="100"/>
      <c r="O28" s="99"/>
      <c r="P28" s="99"/>
      <c r="Q28" s="99"/>
      <c r="R28" s="100"/>
      <c r="S28" s="101"/>
      <c r="T28" s="102"/>
      <c r="U28" s="101"/>
    </row>
    <row r="29" spans="2:24" ht="13.5" x14ac:dyDescent="0.25">
      <c r="F29" s="9"/>
      <c r="I29" s="98"/>
      <c r="J29" s="103"/>
      <c r="K29" s="99"/>
      <c r="L29" s="99"/>
      <c r="M29" s="99"/>
      <c r="N29" s="100"/>
      <c r="O29" s="99"/>
      <c r="P29" s="99"/>
      <c r="Q29" s="99"/>
      <c r="R29" s="100"/>
      <c r="S29" s="101"/>
      <c r="T29" s="102"/>
      <c r="U29" s="101"/>
    </row>
    <row r="30" spans="2:24" ht="13.5" x14ac:dyDescent="0.25">
      <c r="F30" s="9"/>
      <c r="I30" s="98"/>
      <c r="J30" s="103"/>
      <c r="K30" s="99"/>
      <c r="L30" s="99"/>
      <c r="M30" s="99"/>
      <c r="N30" s="100"/>
      <c r="O30" s="99"/>
      <c r="P30" s="99"/>
      <c r="Q30" s="99"/>
      <c r="R30" s="100"/>
      <c r="S30" s="101"/>
      <c r="T30" s="102"/>
      <c r="U30" s="101"/>
    </row>
    <row r="31" spans="2:24" ht="13.5" x14ac:dyDescent="0.25">
      <c r="F31" s="10"/>
      <c r="I31" s="98"/>
      <c r="J31" s="103"/>
      <c r="K31" s="99"/>
      <c r="L31" s="99"/>
      <c r="M31" s="99"/>
      <c r="N31" s="100"/>
      <c r="O31" s="99"/>
      <c r="P31" s="99"/>
      <c r="Q31" s="99"/>
      <c r="R31" s="100"/>
      <c r="S31" s="101"/>
      <c r="T31" s="102"/>
      <c r="U31" s="101"/>
    </row>
    <row r="32" spans="2:24" x14ac:dyDescent="0.2">
      <c r="I32" s="34"/>
    </row>
    <row r="33" spans="9:11" x14ac:dyDescent="0.2">
      <c r="I33" s="34"/>
    </row>
    <row r="36" spans="9:11" x14ac:dyDescent="0.2">
      <c r="I36" s="3"/>
    </row>
    <row r="37" spans="9:11" x14ac:dyDescent="0.2">
      <c r="I37" s="3"/>
    </row>
    <row r="38" spans="9:11" x14ac:dyDescent="0.2">
      <c r="I38" s="56"/>
    </row>
    <row r="47" spans="9:11" x14ac:dyDescent="0.2">
      <c r="K47" s="86"/>
    </row>
  </sheetData>
  <mergeCells count="7">
    <mergeCell ref="D20:E20"/>
    <mergeCell ref="D21:E21"/>
    <mergeCell ref="B2:H2"/>
    <mergeCell ref="F4:H4"/>
    <mergeCell ref="B4:B5"/>
    <mergeCell ref="C4:E4"/>
    <mergeCell ref="D19:E19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scale="85" orientation="landscape" r:id="rId1"/>
  <headerFooter>
    <oddHeader>&amp;LAgencija za osiguranje u BiH&amp;CStatistika tržišta osiguranja&amp;RKvartalno izvješće</oddHeader>
    <oddFooter>&amp;CU izvješće su uključeni podatci zaključno s 30.06.2016.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0"/>
  <sheetViews>
    <sheetView showGridLines="0" showRuler="0" view="pageLayout" zoomScaleNormal="100" workbookViewId="0">
      <selection activeCell="B2" sqref="B2:H2"/>
    </sheetView>
  </sheetViews>
  <sheetFormatPr defaultColWidth="10.42578125" defaultRowHeight="15.75" x14ac:dyDescent="0.25"/>
  <cols>
    <col min="1" max="1" width="3.5703125" style="4" customWidth="1"/>
    <col min="2" max="2" width="29.42578125" style="4" customWidth="1"/>
    <col min="3" max="3" width="16.7109375" style="4" customWidth="1"/>
    <col min="4" max="4" width="7.85546875" style="4" customWidth="1"/>
    <col min="5" max="5" width="7.5703125" style="4" customWidth="1"/>
    <col min="6" max="6" width="16.7109375" style="4" customWidth="1"/>
    <col min="7" max="7" width="7.85546875" style="4" customWidth="1"/>
    <col min="8" max="8" width="7.5703125" style="4" customWidth="1"/>
    <col min="9" max="9" width="8.42578125" style="4" bestFit="1" customWidth="1"/>
    <col min="10" max="10" width="9" style="4" bestFit="1" customWidth="1"/>
    <col min="11" max="11" width="4.5703125" style="4" bestFit="1" customWidth="1"/>
    <col min="12" max="12" width="13.85546875" style="4" bestFit="1" customWidth="1"/>
    <col min="13" max="13" width="14" style="4" bestFit="1" customWidth="1"/>
    <col min="14" max="15" width="15.5703125" style="4" bestFit="1" customWidth="1"/>
    <col min="16" max="16" width="12.7109375" style="4" bestFit="1" customWidth="1"/>
    <col min="17" max="17" width="11.7109375" style="4" bestFit="1" customWidth="1"/>
    <col min="18" max="19" width="10.5703125" style="4" bestFit="1" customWidth="1"/>
    <col min="20" max="20" width="11.7109375" style="4" bestFit="1" customWidth="1"/>
    <col min="21" max="21" width="13.140625" style="4" bestFit="1" customWidth="1"/>
    <col min="22" max="22" width="11.7109375" style="4" bestFit="1" customWidth="1"/>
    <col min="23" max="23" width="13" style="4" bestFit="1" customWidth="1"/>
    <col min="24" max="24" width="13.85546875" style="4" bestFit="1" customWidth="1"/>
    <col min="25" max="25" width="14.28515625" style="4" bestFit="1" customWidth="1"/>
    <col min="26" max="26" width="15.42578125" style="4" bestFit="1" customWidth="1"/>
    <col min="27" max="16384" width="10.42578125" style="4"/>
  </cols>
  <sheetData>
    <row r="1" spans="2:26" ht="15.75" customHeight="1" x14ac:dyDescent="0.25"/>
    <row r="2" spans="2:26" x14ac:dyDescent="0.25">
      <c r="B2" s="160" t="s">
        <v>34</v>
      </c>
      <c r="C2" s="161"/>
      <c r="D2" s="161"/>
      <c r="E2" s="161"/>
      <c r="F2" s="161"/>
      <c r="G2" s="161"/>
      <c r="H2" s="162"/>
    </row>
    <row r="3" spans="2:26" ht="16.5" thickBot="1" x14ac:dyDescent="0.3">
      <c r="B3" s="50"/>
    </row>
    <row r="4" spans="2:26" x14ac:dyDescent="0.25">
      <c r="B4" s="156" t="s">
        <v>43</v>
      </c>
      <c r="C4" s="154" t="s">
        <v>30</v>
      </c>
      <c r="D4" s="154"/>
      <c r="E4" s="154"/>
      <c r="F4" s="154" t="s">
        <v>31</v>
      </c>
      <c r="G4" s="154"/>
      <c r="H4" s="155"/>
    </row>
    <row r="5" spans="2:26" ht="42" customHeight="1" x14ac:dyDescent="0.25">
      <c r="B5" s="157"/>
      <c r="C5" s="12" t="s">
        <v>42</v>
      </c>
      <c r="D5" s="12" t="s">
        <v>1</v>
      </c>
      <c r="E5" s="13" t="s">
        <v>0</v>
      </c>
      <c r="F5" s="12" t="s">
        <v>42</v>
      </c>
      <c r="G5" s="12" t="s">
        <v>1</v>
      </c>
      <c r="H5" s="14" t="s">
        <v>0</v>
      </c>
    </row>
    <row r="6" spans="2:26" x14ac:dyDescent="0.25">
      <c r="B6" s="37" t="s">
        <v>26</v>
      </c>
      <c r="C6" s="90">
        <v>29634.818340000005</v>
      </c>
      <c r="D6" s="54">
        <f t="shared" ref="D6:D27" si="0">C6/C$31*100</f>
        <v>12.633089165956024</v>
      </c>
      <c r="E6" s="75">
        <f>D6^2</f>
        <v>159.59494187499547</v>
      </c>
      <c r="F6" s="119">
        <v>27521.950799999999</v>
      </c>
      <c r="G6" s="54">
        <f t="shared" ref="G6:G30" si="1">F6/F$31*100</f>
        <v>10.816990075531031</v>
      </c>
      <c r="H6" s="128">
        <f>G6^2</f>
        <v>117.00727429413682</v>
      </c>
      <c r="J6" s="29" t="s">
        <v>40</v>
      </c>
      <c r="O6" s="132"/>
      <c r="P6" s="132"/>
      <c r="Q6" s="132"/>
      <c r="R6" s="133"/>
      <c r="S6" s="132"/>
      <c r="T6" s="132"/>
      <c r="U6" s="132"/>
      <c r="V6" s="133"/>
      <c r="W6" s="134"/>
      <c r="X6" s="135"/>
      <c r="Y6" s="51"/>
      <c r="Z6" s="52"/>
    </row>
    <row r="7" spans="2:26" x14ac:dyDescent="0.25">
      <c r="B7" s="37" t="s">
        <v>10</v>
      </c>
      <c r="C7" s="90">
        <v>25707.372040000002</v>
      </c>
      <c r="D7" s="54">
        <f t="shared" si="0"/>
        <v>10.958849805580579</v>
      </c>
      <c r="E7" s="75">
        <f t="shared" ref="E7:E29" si="2">D7^2</f>
        <v>120.0963890612735</v>
      </c>
      <c r="F7" s="119">
        <v>27017.487190000003</v>
      </c>
      <c r="G7" s="54">
        <f t="shared" si="1"/>
        <v>10.618720050906303</v>
      </c>
      <c r="H7" s="128">
        <f t="shared" ref="H7:H29" si="3">G7^2</f>
        <v>112.75721551951956</v>
      </c>
      <c r="O7" s="132"/>
      <c r="P7" s="132"/>
      <c r="Q7" s="132"/>
      <c r="R7" s="133"/>
      <c r="S7" s="132"/>
      <c r="T7" s="132"/>
      <c r="U7" s="132"/>
      <c r="V7" s="133"/>
      <c r="W7" s="134"/>
      <c r="X7" s="135"/>
      <c r="Y7" s="51"/>
      <c r="Z7" s="52"/>
    </row>
    <row r="8" spans="2:26" x14ac:dyDescent="0.25">
      <c r="B8" s="37" t="s">
        <v>25</v>
      </c>
      <c r="C8" s="90">
        <v>20171.167679999995</v>
      </c>
      <c r="D8" s="54">
        <f t="shared" si="0"/>
        <v>8.5988095813274423</v>
      </c>
      <c r="E8" s="75">
        <f t="shared" si="2"/>
        <v>73.939526215928623</v>
      </c>
      <c r="F8" s="119">
        <v>22390.404829999999</v>
      </c>
      <c r="G8" s="54">
        <f t="shared" si="1"/>
        <v>8.8001315238610207</v>
      </c>
      <c r="H8" s="128">
        <f t="shared" si="3"/>
        <v>77.442314837252496</v>
      </c>
      <c r="J8" s="29" t="s">
        <v>41</v>
      </c>
      <c r="O8" s="132"/>
      <c r="P8" s="132"/>
      <c r="Q8" s="132"/>
      <c r="R8" s="133"/>
      <c r="S8" s="132"/>
      <c r="T8" s="132"/>
      <c r="U8" s="132"/>
      <c r="V8" s="133"/>
      <c r="W8" s="134"/>
      <c r="X8" s="135"/>
      <c r="Y8" s="51"/>
      <c r="Z8" s="52"/>
    </row>
    <row r="9" spans="2:26" x14ac:dyDescent="0.25">
      <c r="B9" s="37" t="s">
        <v>7</v>
      </c>
      <c r="C9" s="90">
        <v>15301.426360000003</v>
      </c>
      <c r="D9" s="92">
        <f t="shared" si="0"/>
        <v>6.5228772909761634</v>
      </c>
      <c r="E9" s="75">
        <f>D9^2</f>
        <v>42.547928153132531</v>
      </c>
      <c r="F9" s="119">
        <v>20732.86232</v>
      </c>
      <c r="G9" s="54">
        <f t="shared" si="1"/>
        <v>8.148665317459665</v>
      </c>
      <c r="H9" s="128">
        <f t="shared" ref="H9:H14" si="4">G9^2</f>
        <v>66.400746455970022</v>
      </c>
      <c r="J9" s="29"/>
      <c r="O9" s="132"/>
      <c r="P9" s="132"/>
      <c r="Q9" s="132"/>
      <c r="R9" s="133"/>
      <c r="S9" s="132"/>
      <c r="T9" s="132"/>
      <c r="U9" s="132"/>
      <c r="V9" s="133"/>
      <c r="W9" s="134"/>
      <c r="X9" s="135"/>
      <c r="Y9" s="51"/>
      <c r="Z9" s="52"/>
    </row>
    <row r="10" spans="2:26" x14ac:dyDescent="0.25">
      <c r="B10" s="37" t="s">
        <v>8</v>
      </c>
      <c r="C10" s="90">
        <v>15288.66243</v>
      </c>
      <c r="D10" s="76">
        <f t="shared" si="0"/>
        <v>6.5174361283562989</v>
      </c>
      <c r="E10" s="75">
        <f>D10^2</f>
        <v>42.476973687203945</v>
      </c>
      <c r="F10" s="119">
        <v>16545.635910000001</v>
      </c>
      <c r="G10" s="76">
        <f t="shared" si="1"/>
        <v>6.5029539778052303</v>
      </c>
      <c r="H10" s="128">
        <f>G10^2</f>
        <v>42.288410437452868</v>
      </c>
      <c r="J10" s="29" t="s">
        <v>45</v>
      </c>
      <c r="L10" s="120"/>
      <c r="O10" s="132"/>
      <c r="P10" s="132"/>
      <c r="Q10" s="132"/>
      <c r="R10" s="133"/>
      <c r="S10" s="132"/>
      <c r="T10" s="132"/>
      <c r="U10" s="132"/>
      <c r="V10" s="133"/>
      <c r="W10" s="134"/>
      <c r="X10" s="135"/>
      <c r="Y10" s="51"/>
      <c r="Z10" s="52"/>
    </row>
    <row r="11" spans="2:26" x14ac:dyDescent="0.25">
      <c r="B11" s="45" t="s">
        <v>27</v>
      </c>
      <c r="C11" s="91">
        <f>18954364.77/1000</f>
        <v>18954.36477</v>
      </c>
      <c r="D11" s="54">
        <f t="shared" si="0"/>
        <v>8.0800961043942578</v>
      </c>
      <c r="E11" s="75">
        <f t="shared" si="2"/>
        <v>65.287953056247261</v>
      </c>
      <c r="F11" s="129">
        <f>14136510.67/1000</f>
        <v>14136.51067</v>
      </c>
      <c r="G11" s="76">
        <f t="shared" si="1"/>
        <v>5.5560921800655398</v>
      </c>
      <c r="H11" s="128">
        <f t="shared" si="4"/>
        <v>30.870160313385444</v>
      </c>
      <c r="J11" s="29" t="s">
        <v>46</v>
      </c>
      <c r="O11" s="132"/>
      <c r="P11" s="132"/>
      <c r="Q11" s="132"/>
      <c r="R11" s="133"/>
      <c r="S11" s="132"/>
      <c r="T11" s="132"/>
      <c r="U11" s="132"/>
      <c r="V11" s="133"/>
      <c r="W11" s="134"/>
      <c r="X11" s="135"/>
      <c r="Y11" s="51"/>
      <c r="Z11" s="52"/>
    </row>
    <row r="12" spans="2:26" x14ac:dyDescent="0.25">
      <c r="B12" s="38" t="s">
        <v>4</v>
      </c>
      <c r="C12" s="91">
        <v>11363.353290000001</v>
      </c>
      <c r="D12" s="76">
        <f t="shared" si="0"/>
        <v>4.8441078224213507</v>
      </c>
      <c r="E12" s="75">
        <f>D12^2</f>
        <v>23.465380595243719</v>
      </c>
      <c r="F12" s="119">
        <v>13654.247589999999</v>
      </c>
      <c r="G12" s="76">
        <f t="shared" si="1"/>
        <v>5.3665476601997808</v>
      </c>
      <c r="H12" s="128">
        <f t="shared" si="4"/>
        <v>28.799833789195741</v>
      </c>
      <c r="J12" s="29"/>
      <c r="K12" s="112"/>
      <c r="L12" s="121"/>
      <c r="M12" s="113"/>
      <c r="N12" s="113"/>
      <c r="O12" s="132"/>
      <c r="P12" s="132"/>
      <c r="Q12" s="132"/>
      <c r="R12" s="133"/>
      <c r="S12" s="132"/>
      <c r="T12" s="132"/>
      <c r="U12" s="132"/>
      <c r="V12" s="133"/>
      <c r="W12" s="134"/>
      <c r="X12" s="135"/>
      <c r="Y12" s="51"/>
      <c r="Z12" s="52"/>
    </row>
    <row r="13" spans="2:26" x14ac:dyDescent="0.25">
      <c r="B13" s="37" t="s">
        <v>12</v>
      </c>
      <c r="C13" s="91">
        <f>11217893.13/1000</f>
        <v>11217.89313</v>
      </c>
      <c r="D13" s="76">
        <f t="shared" si="0"/>
        <v>4.7820993042556132</v>
      </c>
      <c r="E13" s="75">
        <f t="shared" si="2"/>
        <v>22.868473755762022</v>
      </c>
      <c r="F13" s="129">
        <f>12951071.63/1000</f>
        <v>12951.07163</v>
      </c>
      <c r="G13" s="76">
        <f t="shared" si="1"/>
        <v>5.090177448075428</v>
      </c>
      <c r="H13" s="128">
        <f t="shared" si="4"/>
        <v>25.909906452895676</v>
      </c>
      <c r="J13" s="29" t="s">
        <v>48</v>
      </c>
      <c r="L13" s="120"/>
      <c r="O13" s="132"/>
      <c r="P13" s="132"/>
      <c r="Q13" s="132"/>
      <c r="R13" s="133"/>
      <c r="S13" s="132"/>
      <c r="T13" s="132"/>
      <c r="U13" s="132"/>
      <c r="V13" s="133"/>
      <c r="W13" s="134"/>
      <c r="X13" s="135"/>
      <c r="Y13" s="51"/>
      <c r="Z13" s="52"/>
    </row>
    <row r="14" spans="2:26" x14ac:dyDescent="0.25">
      <c r="B14" s="37" t="s">
        <v>11</v>
      </c>
      <c r="C14" s="91">
        <v>11231.96902</v>
      </c>
      <c r="D14" s="76">
        <f t="shared" si="0"/>
        <v>4.7880997450688492</v>
      </c>
      <c r="E14" s="75">
        <f>D14^2</f>
        <v>22.925899168728378</v>
      </c>
      <c r="F14" s="119">
        <v>12233.650989999998</v>
      </c>
      <c r="G14" s="76">
        <f t="shared" si="1"/>
        <v>4.8082086298308599</v>
      </c>
      <c r="H14" s="128">
        <f t="shared" si="4"/>
        <v>23.118870227979954</v>
      </c>
      <c r="J14" s="29" t="s">
        <v>47</v>
      </c>
      <c r="O14" s="132"/>
      <c r="P14" s="132"/>
      <c r="Q14" s="132"/>
      <c r="R14" s="133"/>
      <c r="S14" s="132"/>
      <c r="T14" s="132"/>
      <c r="U14" s="132"/>
      <c r="V14" s="133"/>
      <c r="W14" s="134"/>
      <c r="X14" s="135"/>
      <c r="Y14" s="51"/>
      <c r="Z14" s="52"/>
    </row>
    <row r="15" spans="2:26" x14ac:dyDescent="0.25">
      <c r="B15" s="37" t="s">
        <v>9</v>
      </c>
      <c r="C15" s="91">
        <f>8336619.13/1000</f>
        <v>8336.6191299999991</v>
      </c>
      <c r="D15" s="76">
        <f t="shared" si="0"/>
        <v>3.5538349384700392</v>
      </c>
      <c r="E15" s="75">
        <f t="shared" si="2"/>
        <v>12.629742769890347</v>
      </c>
      <c r="F15" s="129">
        <f>10279514.19/1000</f>
        <v>10279.51419</v>
      </c>
      <c r="G15" s="76">
        <f t="shared" si="1"/>
        <v>4.0401715627843648</v>
      </c>
      <c r="H15" s="128">
        <f t="shared" si="3"/>
        <v>16.322986256731458</v>
      </c>
      <c r="K15" s="112"/>
      <c r="L15" s="116"/>
      <c r="M15" s="113"/>
      <c r="N15" s="113"/>
      <c r="O15" s="132"/>
      <c r="P15" s="132"/>
      <c r="Q15" s="132"/>
      <c r="R15" s="133"/>
      <c r="S15" s="132"/>
      <c r="T15" s="132"/>
      <c r="U15" s="132"/>
      <c r="V15" s="133"/>
      <c r="W15" s="134"/>
      <c r="X15" s="135"/>
      <c r="Y15" s="51"/>
      <c r="Z15" s="52"/>
    </row>
    <row r="16" spans="2:26" x14ac:dyDescent="0.25">
      <c r="B16" s="37" t="s">
        <v>16</v>
      </c>
      <c r="C16" s="91">
        <v>8528.5898600000019</v>
      </c>
      <c r="D16" s="76">
        <f t="shared" si="0"/>
        <v>3.63567054554276</v>
      </c>
      <c r="E16" s="75">
        <f t="shared" si="2"/>
        <v>13.21810031572719</v>
      </c>
      <c r="F16" s="91">
        <v>10138.971630000004</v>
      </c>
      <c r="G16" s="76">
        <f t="shared" si="1"/>
        <v>3.9849339276415217</v>
      </c>
      <c r="H16" s="128">
        <f>G16^2</f>
        <v>15.879698407668483</v>
      </c>
      <c r="J16" s="29" t="s">
        <v>49</v>
      </c>
      <c r="K16" s="112"/>
      <c r="L16" s="116"/>
      <c r="M16" s="113"/>
      <c r="N16" s="113"/>
      <c r="O16" s="132"/>
      <c r="P16" s="132"/>
      <c r="Q16" s="132"/>
      <c r="R16" s="133"/>
      <c r="S16" s="132"/>
      <c r="T16" s="132"/>
      <c r="U16" s="132"/>
      <c r="V16" s="133"/>
      <c r="W16" s="134"/>
      <c r="X16" s="135"/>
      <c r="Y16" s="7"/>
      <c r="Z16" s="7"/>
    </row>
    <row r="17" spans="2:26" x14ac:dyDescent="0.25">
      <c r="B17" s="37" t="s">
        <v>13</v>
      </c>
      <c r="C17" s="91">
        <v>9035.4174800000001</v>
      </c>
      <c r="D17" s="76">
        <f t="shared" si="0"/>
        <v>3.8517271598189136</v>
      </c>
      <c r="E17" s="75">
        <f>D17^2</f>
        <v>14.835802113686675</v>
      </c>
      <c r="F17" s="119">
        <v>9871.3806400000012</v>
      </c>
      <c r="G17" s="76">
        <f t="shared" si="1"/>
        <v>3.8797622737799955</v>
      </c>
      <c r="H17" s="128">
        <f>G17^2</f>
        <v>15.052555301046521</v>
      </c>
      <c r="J17" s="29" t="s">
        <v>37</v>
      </c>
      <c r="K17" s="112"/>
      <c r="L17" s="116"/>
      <c r="M17" s="113"/>
      <c r="N17" s="113"/>
      <c r="O17" s="132"/>
      <c r="P17" s="132"/>
      <c r="Q17" s="132"/>
      <c r="R17" s="133"/>
      <c r="S17" s="132"/>
      <c r="T17" s="132"/>
      <c r="U17" s="132"/>
      <c r="V17" s="133"/>
      <c r="W17" s="134"/>
      <c r="X17" s="135"/>
      <c r="Y17" s="51"/>
      <c r="Z17" s="52"/>
    </row>
    <row r="18" spans="2:26" x14ac:dyDescent="0.25">
      <c r="B18" s="37" t="s">
        <v>14</v>
      </c>
      <c r="C18" s="91">
        <f>7275524.53/1000</f>
        <v>7275.5245300000006</v>
      </c>
      <c r="D18" s="76">
        <f t="shared" si="0"/>
        <v>3.1014986851642119</v>
      </c>
      <c r="E18" s="75">
        <f t="shared" si="2"/>
        <v>9.619294094075336</v>
      </c>
      <c r="F18" s="129">
        <f>7748848.71/1000</f>
        <v>7748.8487100000002</v>
      </c>
      <c r="G18" s="76">
        <f t="shared" si="1"/>
        <v>3.0455406377974277</v>
      </c>
      <c r="H18" s="128">
        <f>G18^2</f>
        <v>9.2753177764755623</v>
      </c>
      <c r="J18" s="111"/>
      <c r="K18" s="112"/>
      <c r="L18" s="116"/>
      <c r="M18" s="113"/>
      <c r="N18" s="113"/>
      <c r="O18" s="133"/>
      <c r="P18" s="133"/>
      <c r="Q18" s="133"/>
      <c r="R18" s="133"/>
      <c r="S18" s="133"/>
      <c r="T18" s="133"/>
      <c r="U18" s="133"/>
      <c r="V18" s="133"/>
      <c r="W18" s="134"/>
      <c r="X18" s="133"/>
      <c r="Y18" s="52"/>
      <c r="Z18" s="52"/>
    </row>
    <row r="19" spans="2:26" x14ac:dyDescent="0.25">
      <c r="B19" s="37" t="s">
        <v>21</v>
      </c>
      <c r="C19" s="91">
        <f>7401640.9/1000</f>
        <v>7401.6409000000003</v>
      </c>
      <c r="D19" s="76">
        <f t="shared" si="0"/>
        <v>3.1552610983235398</v>
      </c>
      <c r="E19" s="75">
        <f t="shared" si="2"/>
        <v>9.9556725985938712</v>
      </c>
      <c r="F19" s="129">
        <f>7625078.27/1000</f>
        <v>7625.07827</v>
      </c>
      <c r="G19" s="76">
        <f t="shared" si="1"/>
        <v>2.9968949719849554</v>
      </c>
      <c r="H19" s="128">
        <f t="shared" si="3"/>
        <v>8.9813794731087064</v>
      </c>
      <c r="J19" s="111"/>
      <c r="K19" s="112"/>
      <c r="L19" s="116"/>
      <c r="M19" s="113"/>
      <c r="N19" s="113"/>
      <c r="O19" s="113"/>
      <c r="P19" s="114"/>
      <c r="Q19" s="113"/>
      <c r="R19" s="113"/>
      <c r="S19" s="113"/>
      <c r="T19" s="114"/>
      <c r="U19" s="115"/>
      <c r="V19" s="97"/>
      <c r="W19" s="96"/>
      <c r="X19" s="7"/>
      <c r="Y19" s="7"/>
      <c r="Z19" s="7"/>
    </row>
    <row r="20" spans="2:26" x14ac:dyDescent="0.25">
      <c r="B20" s="37" t="s">
        <v>17</v>
      </c>
      <c r="C20" s="91">
        <v>6069.1169500000005</v>
      </c>
      <c r="D20" s="76">
        <f t="shared" si="0"/>
        <v>2.58721665536503</v>
      </c>
      <c r="E20" s="75">
        <f t="shared" si="2"/>
        <v>6.6936900217982123</v>
      </c>
      <c r="F20" s="119">
        <v>6853.3942800000004</v>
      </c>
      <c r="G20" s="76">
        <f t="shared" si="1"/>
        <v>2.6935989548553785</v>
      </c>
      <c r="H20" s="128">
        <f>G20^2</f>
        <v>7.2554753295979877</v>
      </c>
      <c r="J20" s="111"/>
      <c r="K20" s="112"/>
      <c r="L20" s="116"/>
      <c r="M20" s="113"/>
      <c r="N20" s="113"/>
      <c r="O20" s="113"/>
      <c r="P20" s="114"/>
      <c r="Q20" s="113"/>
      <c r="R20" s="113"/>
      <c r="S20" s="113"/>
      <c r="T20" s="114"/>
      <c r="U20" s="115"/>
      <c r="V20" s="97"/>
      <c r="W20" s="96"/>
      <c r="X20" s="7"/>
      <c r="Y20" s="7"/>
      <c r="Z20" s="7"/>
    </row>
    <row r="21" spans="2:26" x14ac:dyDescent="0.25">
      <c r="B21" s="37" t="s">
        <v>19</v>
      </c>
      <c r="C21" s="91">
        <f>4098778.03/1000</f>
        <v>4098.7780299999995</v>
      </c>
      <c r="D21" s="76">
        <f t="shared" si="0"/>
        <v>1.7472767246411793</v>
      </c>
      <c r="E21" s="75">
        <f>D21^2</f>
        <v>3.0529759524728077</v>
      </c>
      <c r="F21" s="129">
        <f>5930786.59/1000</f>
        <v>5930.7865899999997</v>
      </c>
      <c r="G21" s="76">
        <f t="shared" si="1"/>
        <v>2.3309851888886639</v>
      </c>
      <c r="H21" s="128">
        <f>G21^2</f>
        <v>5.4334919508183201</v>
      </c>
      <c r="J21" s="111"/>
      <c r="K21" s="112"/>
      <c r="L21" s="116"/>
      <c r="M21" s="113"/>
      <c r="N21" s="113"/>
      <c r="O21" s="113"/>
      <c r="P21" s="114"/>
      <c r="Q21" s="113"/>
      <c r="R21" s="113"/>
      <c r="S21" s="113"/>
      <c r="T21" s="114"/>
      <c r="U21" s="115"/>
      <c r="V21" s="97"/>
      <c r="W21" s="96"/>
    </row>
    <row r="22" spans="2:26" x14ac:dyDescent="0.25">
      <c r="B22" s="37" t="s">
        <v>15</v>
      </c>
      <c r="C22" s="91">
        <f>5090303.29/1000</f>
        <v>5090.3032899999998</v>
      </c>
      <c r="D22" s="76">
        <f t="shared" si="0"/>
        <v>2.169956117380043</v>
      </c>
      <c r="E22" s="75">
        <f>D22^2</f>
        <v>4.7087095513550707</v>
      </c>
      <c r="F22" s="129">
        <f>5231224.58/1000</f>
        <v>5231.2245800000001</v>
      </c>
      <c r="G22" s="76">
        <f t="shared" si="1"/>
        <v>2.0560353724901645</v>
      </c>
      <c r="H22" s="128">
        <f>G22^2</f>
        <v>4.2272814529307698</v>
      </c>
      <c r="J22" s="111"/>
      <c r="K22" s="112"/>
      <c r="L22" s="116"/>
      <c r="M22" s="113"/>
      <c r="N22" s="113"/>
      <c r="O22" s="113"/>
      <c r="P22" s="114"/>
      <c r="Q22" s="113"/>
      <c r="R22" s="113"/>
      <c r="S22" s="113"/>
      <c r="T22" s="114"/>
      <c r="U22" s="115"/>
      <c r="V22" s="97"/>
      <c r="W22" s="96"/>
      <c r="X22" s="7"/>
      <c r="Y22" s="7"/>
      <c r="Z22" s="7"/>
    </row>
    <row r="23" spans="2:26" x14ac:dyDescent="0.25">
      <c r="B23" s="37" t="s">
        <v>35</v>
      </c>
      <c r="C23" s="91">
        <f>4696845.08/1000</f>
        <v>4696.8450800000001</v>
      </c>
      <c r="D23" s="76">
        <f t="shared" si="0"/>
        <v>2.0022279878204188</v>
      </c>
      <c r="E23" s="75">
        <f>D23^2</f>
        <v>4.0089169152114028</v>
      </c>
      <c r="F23" s="129">
        <f>5185677.43/1000</f>
        <v>5185.6774299999997</v>
      </c>
      <c r="G23" s="76">
        <f t="shared" si="1"/>
        <v>2.0381339136474024</v>
      </c>
      <c r="H23" s="128">
        <f>G23^2</f>
        <v>4.153989849959677</v>
      </c>
      <c r="J23" s="111"/>
      <c r="K23" s="112"/>
      <c r="L23" s="116"/>
      <c r="M23" s="113"/>
      <c r="N23" s="113"/>
      <c r="O23" s="113"/>
      <c r="P23" s="114"/>
      <c r="Q23" s="113"/>
      <c r="R23" s="113"/>
      <c r="S23" s="113"/>
      <c r="T23" s="114"/>
      <c r="U23" s="115"/>
      <c r="V23" s="97"/>
      <c r="W23" s="96"/>
      <c r="X23" s="51"/>
      <c r="Y23" s="51"/>
      <c r="Z23" s="52"/>
    </row>
    <row r="24" spans="2:26" x14ac:dyDescent="0.25">
      <c r="B24" s="37" t="s">
        <v>20</v>
      </c>
      <c r="C24" s="91">
        <f>3460958.41/1000</f>
        <v>3460.9584100000002</v>
      </c>
      <c r="D24" s="76">
        <f t="shared" si="0"/>
        <v>1.475379254617539</v>
      </c>
      <c r="E24" s="75">
        <f>D24^2</f>
        <v>2.1767439449558053</v>
      </c>
      <c r="F24" s="129">
        <f>4294680.23/1000</f>
        <v>4294.6802300000008</v>
      </c>
      <c r="G24" s="76">
        <f t="shared" si="1"/>
        <v>1.6879440619263564</v>
      </c>
      <c r="H24" s="128">
        <f>G24^2</f>
        <v>2.8491551561924471</v>
      </c>
      <c r="J24" s="93"/>
      <c r="K24" s="7"/>
      <c r="L24" s="85"/>
      <c r="M24" s="94"/>
      <c r="N24" s="94"/>
      <c r="O24" s="94"/>
      <c r="P24" s="95"/>
      <c r="Q24" s="94"/>
      <c r="R24" s="94"/>
      <c r="S24" s="94"/>
      <c r="T24" s="95"/>
      <c r="U24" s="96"/>
      <c r="V24" s="97"/>
      <c r="W24" s="96"/>
    </row>
    <row r="25" spans="2:26" x14ac:dyDescent="0.25">
      <c r="B25" s="37" t="s">
        <v>5</v>
      </c>
      <c r="C25" s="91">
        <v>3774.0390699999971</v>
      </c>
      <c r="D25" s="76">
        <f t="shared" si="0"/>
        <v>1.6088430689908422</v>
      </c>
      <c r="E25" s="75">
        <f t="shared" si="2"/>
        <v>2.5883760206398718</v>
      </c>
      <c r="F25" s="119">
        <v>4241.8193800000054</v>
      </c>
      <c r="G25" s="76">
        <f t="shared" si="1"/>
        <v>1.6671680895401952</v>
      </c>
      <c r="H25" s="128">
        <f t="shared" si="3"/>
        <v>2.7794494387811044</v>
      </c>
      <c r="J25" s="111"/>
      <c r="K25" s="112"/>
      <c r="L25" s="116"/>
      <c r="M25" s="113"/>
      <c r="N25" s="113"/>
      <c r="O25" s="113"/>
      <c r="P25" s="114"/>
      <c r="Q25" s="113"/>
      <c r="R25" s="113"/>
      <c r="S25" s="113"/>
      <c r="T25" s="114"/>
      <c r="U25" s="115"/>
      <c r="V25" s="97"/>
      <c r="W25" s="96"/>
    </row>
    <row r="26" spans="2:26" x14ac:dyDescent="0.25">
      <c r="B26" s="37" t="s">
        <v>28</v>
      </c>
      <c r="C26" s="91">
        <f>2627175.79/1000</f>
        <v>2627.1757900000002</v>
      </c>
      <c r="D26" s="76">
        <f t="shared" si="0"/>
        <v>1.1199443043291135</v>
      </c>
      <c r="E26" s="75">
        <f>D26^2</f>
        <v>1.254275244799222</v>
      </c>
      <c r="F26" s="129">
        <f>3818887.6/1000</f>
        <v>3818.8876</v>
      </c>
      <c r="G26" s="76">
        <f t="shared" si="1"/>
        <v>1.5009426318997896</v>
      </c>
      <c r="H26" s="128">
        <f>G26^2</f>
        <v>2.2528287842542674</v>
      </c>
      <c r="J26" s="93"/>
      <c r="K26" s="7"/>
      <c r="L26" s="85"/>
      <c r="M26" s="94"/>
      <c r="N26" s="94"/>
      <c r="O26" s="94"/>
      <c r="P26" s="95"/>
      <c r="Q26" s="94"/>
      <c r="R26" s="94"/>
      <c r="S26" s="94"/>
      <c r="T26" s="95"/>
      <c r="U26" s="96"/>
      <c r="V26" s="97"/>
      <c r="W26" s="96"/>
    </row>
    <row r="27" spans="2:26" x14ac:dyDescent="0.25">
      <c r="B27" s="37" t="s">
        <v>18</v>
      </c>
      <c r="C27" s="91">
        <f>4998544.51/1000</f>
        <v>4998.5445099999997</v>
      </c>
      <c r="D27" s="76">
        <f t="shared" si="0"/>
        <v>2.1308400736709205</v>
      </c>
      <c r="E27" s="75">
        <f>D27^2</f>
        <v>4.540479419561894</v>
      </c>
      <c r="F27" s="129">
        <f>3569744.05/1000</f>
        <v>3569.7440499999998</v>
      </c>
      <c r="G27" s="76">
        <f t="shared" si="1"/>
        <v>1.4030214006863184</v>
      </c>
      <c r="H27" s="128">
        <f>G27^2</f>
        <v>1.968469050783799</v>
      </c>
      <c r="J27" s="111"/>
      <c r="K27" s="112"/>
      <c r="L27" s="116"/>
      <c r="M27" s="113"/>
      <c r="N27" s="113"/>
      <c r="O27" s="113"/>
      <c r="P27" s="114"/>
      <c r="Q27" s="113"/>
      <c r="R27" s="113"/>
      <c r="S27" s="113"/>
      <c r="T27" s="114"/>
      <c r="U27" s="115"/>
      <c r="V27" s="97"/>
      <c r="W27" s="96"/>
      <c r="X27" s="7"/>
      <c r="Y27" s="7"/>
      <c r="Z27" s="7"/>
    </row>
    <row r="28" spans="2:26" x14ac:dyDescent="0.25">
      <c r="B28" s="105" t="s">
        <v>36</v>
      </c>
      <c r="C28" s="130" t="s">
        <v>29</v>
      </c>
      <c r="D28" s="106" t="s">
        <v>29</v>
      </c>
      <c r="E28" s="107" t="s">
        <v>29</v>
      </c>
      <c r="F28" s="131">
        <f>2106015.68/1000</f>
        <v>2106.01568</v>
      </c>
      <c r="G28" s="76">
        <f t="shared" si="1"/>
        <v>0.82773023158927883</v>
      </c>
      <c r="H28" s="128">
        <f>G28^2</f>
        <v>0.68513733628684115</v>
      </c>
    </row>
    <row r="29" spans="2:26" x14ac:dyDescent="0.25">
      <c r="B29" s="37" t="s">
        <v>3</v>
      </c>
      <c r="C29" s="91">
        <v>306.97868999999974</v>
      </c>
      <c r="D29" s="76">
        <f>C29/C$31*100</f>
        <v>0.13086259272201661</v>
      </c>
      <c r="E29" s="75">
        <f t="shared" si="2"/>
        <v>1.7125018173928395E-2</v>
      </c>
      <c r="F29" s="119">
        <v>346.78545999999983</v>
      </c>
      <c r="G29" s="76">
        <f t="shared" si="1"/>
        <v>0.13629756503882937</v>
      </c>
      <c r="H29" s="128">
        <f t="shared" si="3"/>
        <v>1.8577026235513921E-2</v>
      </c>
    </row>
    <row r="30" spans="2:26" x14ac:dyDescent="0.25">
      <c r="B30" s="37" t="s">
        <v>6</v>
      </c>
      <c r="C30" s="91">
        <f>9373.49/1000</f>
        <v>9.3734900000000003</v>
      </c>
      <c r="D30" s="76">
        <f>C30/C$31*100</f>
        <v>3.9958448068623158E-3</v>
      </c>
      <c r="E30" s="75">
        <f>D30^2</f>
        <v>1.5966775720528539E-5</v>
      </c>
      <c r="F30" s="129">
        <f>5985.15/1000</f>
        <v>5.98515</v>
      </c>
      <c r="G30" s="76">
        <f t="shared" si="1"/>
        <v>2.3523517144927297E-3</v>
      </c>
      <c r="H30" s="128">
        <f>G30^2</f>
        <v>5.5335585886768843E-6</v>
      </c>
    </row>
    <row r="31" spans="2:26" ht="16.5" thickBot="1" x14ac:dyDescent="0.3">
      <c r="B31" s="18" t="s">
        <v>2</v>
      </c>
      <c r="C31" s="138">
        <f t="shared" ref="C31:H31" si="5">SUM(C6:C30)</f>
        <v>234580.93226999999</v>
      </c>
      <c r="D31" s="77">
        <f t="shared" si="5"/>
        <v>99.999999999999986</v>
      </c>
      <c r="E31" s="77">
        <f t="shared" si="5"/>
        <v>662.50338551623292</v>
      </c>
      <c r="F31" s="138">
        <f t="shared" si="5"/>
        <v>254432.61580000003</v>
      </c>
      <c r="G31" s="21">
        <f t="shared" si="5"/>
        <v>100</v>
      </c>
      <c r="H31" s="22">
        <f t="shared" si="5"/>
        <v>621.73053045221866</v>
      </c>
    </row>
    <row r="33" spans="2:14" x14ac:dyDescent="0.25">
      <c r="B33" s="5"/>
      <c r="F33" s="28"/>
    </row>
    <row r="34" spans="2:14" x14ac:dyDescent="0.25">
      <c r="B34" s="70"/>
      <c r="C34" s="67" t="s">
        <v>30</v>
      </c>
      <c r="D34" s="163" t="s">
        <v>31</v>
      </c>
      <c r="E34" s="163"/>
      <c r="F34" s="108"/>
      <c r="G34" s="64"/>
      <c r="L34" s="28"/>
    </row>
    <row r="35" spans="2:14" x14ac:dyDescent="0.25">
      <c r="B35" s="71" t="s">
        <v>24</v>
      </c>
      <c r="C35" s="137">
        <f>(D6+D7+D8+D11)/100</f>
        <v>0.40270844657258303</v>
      </c>
      <c r="D35" s="149">
        <f>(G6+G7+G8+G9)/100</f>
        <v>0.3838450696775802</v>
      </c>
      <c r="E35" s="149"/>
      <c r="F35" s="65"/>
      <c r="G35" s="65"/>
    </row>
    <row r="36" spans="2:14" x14ac:dyDescent="0.25">
      <c r="B36" s="71" t="s">
        <v>0</v>
      </c>
      <c r="C36" s="62">
        <f>E31</f>
        <v>662.50338551623292</v>
      </c>
      <c r="D36" s="159">
        <f>H31</f>
        <v>621.73053045221866</v>
      </c>
      <c r="E36" s="159"/>
      <c r="F36" s="66"/>
      <c r="G36" s="66"/>
    </row>
    <row r="37" spans="2:14" x14ac:dyDescent="0.25">
      <c r="L37" s="87"/>
    </row>
    <row r="38" spans="2:14" x14ac:dyDescent="0.25">
      <c r="L38" s="43"/>
      <c r="M38" s="39"/>
      <c r="N38" s="39"/>
    </row>
    <row r="39" spans="2:14" x14ac:dyDescent="0.25">
      <c r="L39" s="47"/>
    </row>
    <row r="40" spans="2:14" x14ac:dyDescent="0.25">
      <c r="C40" s="6"/>
      <c r="F40" s="7"/>
    </row>
    <row r="41" spans="2:14" x14ac:dyDescent="0.25">
      <c r="C41" s="6"/>
      <c r="F41" s="7"/>
    </row>
    <row r="42" spans="2:14" x14ac:dyDescent="0.25">
      <c r="F42" s="7"/>
    </row>
    <row r="43" spans="2:14" x14ac:dyDescent="0.25">
      <c r="F43" s="7"/>
    </row>
    <row r="44" spans="2:14" x14ac:dyDescent="0.25">
      <c r="F44" s="7"/>
      <c r="I44" s="72"/>
    </row>
    <row r="45" spans="2:14" x14ac:dyDescent="0.25">
      <c r="F45" s="7"/>
      <c r="I45" s="73"/>
    </row>
    <row r="46" spans="2:14" x14ac:dyDescent="0.25">
      <c r="F46" s="8"/>
      <c r="I46" s="74"/>
    </row>
    <row r="47" spans="2:14" x14ac:dyDescent="0.25">
      <c r="I47" s="74"/>
    </row>
    <row r="48" spans="2:14" x14ac:dyDescent="0.25">
      <c r="I48" s="72"/>
    </row>
    <row r="49" spans="3:9" x14ac:dyDescent="0.25">
      <c r="I49" s="74"/>
    </row>
    <row r="50" spans="3:9" x14ac:dyDescent="0.25">
      <c r="I50" s="72"/>
    </row>
    <row r="51" spans="3:9" x14ac:dyDescent="0.25">
      <c r="I51" s="72"/>
    </row>
    <row r="60" spans="3:9" x14ac:dyDescent="0.25">
      <c r="C60" s="46"/>
      <c r="D60" s="7"/>
    </row>
  </sheetData>
  <mergeCells count="7">
    <mergeCell ref="D35:E35"/>
    <mergeCell ref="D36:E36"/>
    <mergeCell ref="B2:H2"/>
    <mergeCell ref="F4:H4"/>
    <mergeCell ref="B4:B5"/>
    <mergeCell ref="C4:E4"/>
    <mergeCell ref="D34:E34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scale="61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30.06.2016.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6"/>
  <sheetViews>
    <sheetView showGridLines="0" showRuler="0" view="pageLayout" zoomScaleNormal="100" workbookViewId="0">
      <selection activeCell="B2" sqref="B2:H2"/>
    </sheetView>
  </sheetViews>
  <sheetFormatPr defaultColWidth="10.42578125" defaultRowHeight="15.75" x14ac:dyDescent="0.25"/>
  <cols>
    <col min="1" max="1" width="3.5703125" style="4" customWidth="1"/>
    <col min="2" max="2" width="29.42578125" style="4" customWidth="1"/>
    <col min="3" max="3" width="16.7109375" style="4" customWidth="1"/>
    <col min="4" max="4" width="7.85546875" style="4" customWidth="1"/>
    <col min="5" max="5" width="7.5703125" style="4" customWidth="1"/>
    <col min="6" max="6" width="16.7109375" style="4" customWidth="1"/>
    <col min="7" max="7" width="7.85546875" style="4" customWidth="1"/>
    <col min="8" max="8" width="7.5703125" style="4" customWidth="1"/>
    <col min="9" max="16384" width="10.42578125" style="4"/>
  </cols>
  <sheetData>
    <row r="2" spans="2:10" x14ac:dyDescent="0.25">
      <c r="B2" s="164" t="s">
        <v>50</v>
      </c>
      <c r="C2" s="165"/>
      <c r="D2" s="165"/>
      <c r="E2" s="165"/>
      <c r="F2" s="165"/>
      <c r="G2" s="165"/>
      <c r="H2" s="166"/>
    </row>
    <row r="3" spans="2:10" ht="16.5" thickBot="1" x14ac:dyDescent="0.3">
      <c r="B3" s="32"/>
    </row>
    <row r="4" spans="2:10" x14ac:dyDescent="0.25">
      <c r="B4" s="156" t="s">
        <v>43</v>
      </c>
      <c r="C4" s="154" t="s">
        <v>30</v>
      </c>
      <c r="D4" s="154"/>
      <c r="E4" s="154"/>
      <c r="F4" s="154" t="s">
        <v>31</v>
      </c>
      <c r="G4" s="154"/>
      <c r="H4" s="155"/>
    </row>
    <row r="5" spans="2:10" ht="42" customHeight="1" x14ac:dyDescent="0.25">
      <c r="B5" s="157"/>
      <c r="C5" s="12" t="s">
        <v>42</v>
      </c>
      <c r="D5" s="12" t="s">
        <v>1</v>
      </c>
      <c r="E5" s="13" t="s">
        <v>0</v>
      </c>
      <c r="F5" s="12" t="s">
        <v>42</v>
      </c>
      <c r="G5" s="12" t="s">
        <v>1</v>
      </c>
      <c r="H5" s="14" t="s">
        <v>0</v>
      </c>
    </row>
    <row r="6" spans="2:10" x14ac:dyDescent="0.25">
      <c r="B6" s="40" t="s">
        <v>4</v>
      </c>
      <c r="C6" s="88">
        <f>'HHI - Neživotno'!C12+'HHI - Životno'!C6</f>
        <v>25135.294549999999</v>
      </c>
      <c r="D6" s="78">
        <f t="shared" ref="D6:D29" si="0">C6/C$31*100</f>
        <v>8.5547606354449339</v>
      </c>
      <c r="E6" s="79">
        <f>D6^2</f>
        <v>73.183929529758203</v>
      </c>
      <c r="F6" s="117">
        <f>'HHI - Neživotno'!F12+'HHI - Životno'!F6</f>
        <v>29510.308349999999</v>
      </c>
      <c r="G6" s="78">
        <f t="shared" ref="G6:G30" si="1">F6/F$31*100</f>
        <v>9.3121102815713108</v>
      </c>
      <c r="H6" s="80">
        <f>G6^2</f>
        <v>86.715397896146115</v>
      </c>
      <c r="J6" s="29" t="s">
        <v>40</v>
      </c>
    </row>
    <row r="7" spans="2:10" x14ac:dyDescent="0.25">
      <c r="B7" s="40" t="s">
        <v>26</v>
      </c>
      <c r="C7" s="88">
        <f>'HHI - Neživotno'!C6+'HHI - Životno'!C13</f>
        <v>31414.374700000004</v>
      </c>
      <c r="D7" s="78">
        <f t="shared" si="0"/>
        <v>10.691836355292574</v>
      </c>
      <c r="E7" s="79">
        <f>D7^2</f>
        <v>114.315364648356</v>
      </c>
      <c r="F7" s="117">
        <f>'HHI - Neživotno'!F6+'HHI - Životno'!F13</f>
        <v>29378.58857</v>
      </c>
      <c r="G7" s="78">
        <f t="shared" si="1"/>
        <v>9.270545513657785</v>
      </c>
      <c r="H7" s="80">
        <f t="shared" ref="H7:H27" si="2">G7^2</f>
        <v>85.943014120800484</v>
      </c>
    </row>
    <row r="8" spans="2:10" x14ac:dyDescent="0.25">
      <c r="B8" s="40" t="s">
        <v>10</v>
      </c>
      <c r="C8" s="88">
        <f>'HHI - Neživotno'!C7</f>
        <v>25707.372040000002</v>
      </c>
      <c r="D8" s="78">
        <f t="shared" si="0"/>
        <v>8.7494663701297171</v>
      </c>
      <c r="E8" s="79">
        <f>D8^2</f>
        <v>76.553161762030882</v>
      </c>
      <c r="F8" s="117">
        <f>'HHI - Neživotno'!F7</f>
        <v>27017.487190000003</v>
      </c>
      <c r="G8" s="78">
        <f t="shared" si="1"/>
        <v>8.5254893734182282</v>
      </c>
      <c r="H8" s="80">
        <f>G8^2</f>
        <v>72.683969056267131</v>
      </c>
      <c r="J8" s="29" t="s">
        <v>41</v>
      </c>
    </row>
    <row r="9" spans="2:10" x14ac:dyDescent="0.25">
      <c r="B9" s="40" t="s">
        <v>25</v>
      </c>
      <c r="C9" s="88">
        <f>'HHI - Neživotno'!C8+'HHI - Životno'!C12</f>
        <v>22731.232509999994</v>
      </c>
      <c r="D9" s="78">
        <f t="shared" si="0"/>
        <v>7.7365416460454455</v>
      </c>
      <c r="E9" s="79">
        <f t="shared" ref="E9:E28" si="3">D9^2</f>
        <v>59.854076640995572</v>
      </c>
      <c r="F9" s="117">
        <f>'HHI - Neživotno'!F8+'HHI - Životno'!F12</f>
        <v>24535.571120000001</v>
      </c>
      <c r="G9" s="78">
        <f t="shared" si="1"/>
        <v>7.7423096153712718</v>
      </c>
      <c r="H9" s="80">
        <f t="shared" si="2"/>
        <v>59.943358180270451</v>
      </c>
      <c r="J9" s="29"/>
    </row>
    <row r="10" spans="2:10" x14ac:dyDescent="0.25">
      <c r="B10" s="40" t="s">
        <v>7</v>
      </c>
      <c r="C10" s="88">
        <f>'HHI - Neživotno'!C9+'HHI - Životno'!C11</f>
        <v>19067.969890000004</v>
      </c>
      <c r="D10" s="122">
        <f t="shared" si="0"/>
        <v>6.4897555860478793</v>
      </c>
      <c r="E10" s="79">
        <f>D10^2</f>
        <v>42.116927566639653</v>
      </c>
      <c r="F10" s="117">
        <f>'HHI - Neživotno'!F9+'HHI - Životno'!F11</f>
        <v>24380.151679999999</v>
      </c>
      <c r="G10" s="123">
        <f t="shared" si="1"/>
        <v>7.6932663133489774</v>
      </c>
      <c r="H10" s="80">
        <f>G10^2</f>
        <v>59.186346568110167</v>
      </c>
      <c r="J10" s="29" t="s">
        <v>45</v>
      </c>
    </row>
    <row r="11" spans="2:10" x14ac:dyDescent="0.25">
      <c r="B11" s="40" t="s">
        <v>8</v>
      </c>
      <c r="C11" s="88">
        <f>'HHI - Neživotno'!C10+'HHI - Životno'!C10</f>
        <v>19225.062529999999</v>
      </c>
      <c r="D11" s="122">
        <f t="shared" si="0"/>
        <v>6.5432218356721581</v>
      </c>
      <c r="E11" s="79">
        <f>D11^2</f>
        <v>42.813751990816925</v>
      </c>
      <c r="F11" s="117">
        <f>'HHI - Neživotno'!F10+'HHI - Životno'!F10</f>
        <v>21504.22812</v>
      </c>
      <c r="G11" s="123">
        <f t="shared" si="1"/>
        <v>6.7857557229999905</v>
      </c>
      <c r="H11" s="80">
        <f>G11^2</f>
        <v>46.046480732227124</v>
      </c>
      <c r="J11" s="29" t="s">
        <v>46</v>
      </c>
    </row>
    <row r="12" spans="2:10" x14ac:dyDescent="0.25">
      <c r="B12" s="40" t="s">
        <v>5</v>
      </c>
      <c r="C12" s="88">
        <f>'HHI - Neživotno'!C25+'HHI - Životno'!C8</f>
        <v>14740.141279999998</v>
      </c>
      <c r="D12" s="122">
        <f t="shared" si="0"/>
        <v>5.0167854660386668</v>
      </c>
      <c r="E12" s="79">
        <f>D12^2</f>
        <v>25.168136412256803</v>
      </c>
      <c r="F12" s="117">
        <f>'HHI - Neživotno'!F25+'HHI - Životno'!F8</f>
        <v>15786.047280000006</v>
      </c>
      <c r="G12" s="82">
        <f t="shared" si="1"/>
        <v>4.9813580880953046</v>
      </c>
      <c r="H12" s="80">
        <f>G12^2</f>
        <v>24.813928401832509</v>
      </c>
      <c r="J12" s="29"/>
    </row>
    <row r="13" spans="2:10" x14ac:dyDescent="0.25">
      <c r="B13" s="48" t="s">
        <v>27</v>
      </c>
      <c r="C13" s="88">
        <f>'HHI - Neživotno'!C11+'HHI - Životno'!C14</f>
        <v>19918.60673</v>
      </c>
      <c r="D13" s="122">
        <f t="shared" si="0"/>
        <v>6.7792685869564453</v>
      </c>
      <c r="E13" s="79">
        <f t="shared" ref="E13:E16" si="4">D13^2</f>
        <v>45.95848257409444</v>
      </c>
      <c r="F13" s="117">
        <f>'HHI - Neživotno'!F11+'HHI - Životno'!F14</f>
        <v>15723.22882</v>
      </c>
      <c r="G13" s="123">
        <f t="shared" si="1"/>
        <v>4.9615354410290449</v>
      </c>
      <c r="H13" s="80">
        <f t="shared" ref="H13:H16" si="5">G13^2</f>
        <v>24.61683393258728</v>
      </c>
      <c r="J13" s="29" t="s">
        <v>51</v>
      </c>
    </row>
    <row r="14" spans="2:10" x14ac:dyDescent="0.25">
      <c r="B14" s="40" t="s">
        <v>3</v>
      </c>
      <c r="C14" s="88">
        <f>'HHI - Neživotno'!C29+'HHI - Životno'!C7</f>
        <v>14714.220090000001</v>
      </c>
      <c r="D14" s="122">
        <f t="shared" si="0"/>
        <v>5.0079632270394479</v>
      </c>
      <c r="E14" s="79">
        <f t="shared" si="4"/>
        <v>25.079695683379359</v>
      </c>
      <c r="F14" s="117">
        <f>'HHI - Neživotno'!F29+'HHI - Životno'!F7</f>
        <v>13802.80761</v>
      </c>
      <c r="G14" s="123">
        <f t="shared" si="1"/>
        <v>4.3555379067949227</v>
      </c>
      <c r="H14" s="80">
        <f t="shared" si="5"/>
        <v>18.970710457527495</v>
      </c>
      <c r="J14" s="29" t="s">
        <v>47</v>
      </c>
    </row>
    <row r="15" spans="2:10" x14ac:dyDescent="0.25">
      <c r="B15" s="40" t="s">
        <v>12</v>
      </c>
      <c r="C15" s="88">
        <f>'HHI - Neživotno'!C13</f>
        <v>11217.89313</v>
      </c>
      <c r="D15" s="122">
        <f t="shared" si="0"/>
        <v>3.8179934740869061</v>
      </c>
      <c r="E15" s="79">
        <f t="shared" si="4"/>
        <v>14.577074168170203</v>
      </c>
      <c r="F15" s="117">
        <f>'HHI - Neživotno'!F13</f>
        <v>12951.07163</v>
      </c>
      <c r="G15" s="122">
        <f t="shared" si="1"/>
        <v>4.0867687945757947</v>
      </c>
      <c r="H15" s="80">
        <f t="shared" si="5"/>
        <v>16.701679180318493</v>
      </c>
    </row>
    <row r="16" spans="2:10" x14ac:dyDescent="0.25">
      <c r="B16" s="40" t="s">
        <v>11</v>
      </c>
      <c r="C16" s="88">
        <f>'HHI - Neživotno'!C14</f>
        <v>11231.96902</v>
      </c>
      <c r="D16" s="122">
        <f t="shared" si="0"/>
        <v>3.8227841826040199</v>
      </c>
      <c r="E16" s="79">
        <f t="shared" si="4"/>
        <v>14.613678906767484</v>
      </c>
      <c r="F16" s="117">
        <f>'HHI - Neživotno'!F14</f>
        <v>12233.650989999998</v>
      </c>
      <c r="G16" s="82">
        <f t="shared" si="1"/>
        <v>3.8603834908805359</v>
      </c>
      <c r="H16" s="80">
        <f t="shared" si="5"/>
        <v>14.902560696662993</v>
      </c>
      <c r="J16" s="29" t="s">
        <v>49</v>
      </c>
    </row>
    <row r="17" spans="2:10" x14ac:dyDescent="0.25">
      <c r="B17" s="41" t="s">
        <v>9</v>
      </c>
      <c r="C17" s="88">
        <f>'HHI - Neživotno'!C15+'HHI - Životno'!C15</f>
        <v>8705.9218199999996</v>
      </c>
      <c r="D17" s="122">
        <f t="shared" si="0"/>
        <v>2.9630477229079109</v>
      </c>
      <c r="E17" s="79">
        <f t="shared" si="3"/>
        <v>8.7796518082297563</v>
      </c>
      <c r="F17" s="117">
        <f>'HHI - Neživotno'!F15+'HHI - Životno'!F15</f>
        <v>10634.11592</v>
      </c>
      <c r="G17" s="81">
        <f t="shared" si="1"/>
        <v>3.3556430186895407</v>
      </c>
      <c r="H17" s="80">
        <f t="shared" si="2"/>
        <v>11.260340068879854</v>
      </c>
      <c r="J17" s="29" t="s">
        <v>37</v>
      </c>
    </row>
    <row r="18" spans="2:10" x14ac:dyDescent="0.25">
      <c r="B18" s="40" t="s">
        <v>16</v>
      </c>
      <c r="C18" s="88">
        <f>'HHI - Neživotno'!C16</f>
        <v>8528.5898600000019</v>
      </c>
      <c r="D18" s="81">
        <f t="shared" si="0"/>
        <v>2.9026930504056034</v>
      </c>
      <c r="E18" s="79">
        <f>D18^2</f>
        <v>8.4256269448729864</v>
      </c>
      <c r="F18" s="117">
        <f>'HHI - Neživotno'!F16</f>
        <v>10138.971630000004</v>
      </c>
      <c r="G18" s="81">
        <f t="shared" si="1"/>
        <v>3.1993980151102983</v>
      </c>
      <c r="H18" s="80">
        <f>G18^2</f>
        <v>10.236147659091717</v>
      </c>
      <c r="J18" s="29"/>
    </row>
    <row r="19" spans="2:10" x14ac:dyDescent="0.25">
      <c r="B19" s="40" t="s">
        <v>13</v>
      </c>
      <c r="C19" s="88">
        <f>'HHI - Neživotno'!C17</f>
        <v>9035.4174800000001</v>
      </c>
      <c r="D19" s="81">
        <f t="shared" si="0"/>
        <v>3.075191087534523</v>
      </c>
      <c r="E19" s="79">
        <f>D19^2</f>
        <v>9.4568002248517615</v>
      </c>
      <c r="F19" s="117">
        <f>'HHI - Neživotno'!F17</f>
        <v>9871.3806400000012</v>
      </c>
      <c r="G19" s="81">
        <f t="shared" si="1"/>
        <v>3.1149584769095777</v>
      </c>
      <c r="H19" s="80">
        <f>G19^2</f>
        <v>9.7029663128708368</v>
      </c>
    </row>
    <row r="20" spans="2:10" x14ac:dyDescent="0.25">
      <c r="B20" s="40" t="s">
        <v>14</v>
      </c>
      <c r="C20" s="88">
        <f>'HHI - Neživotno'!C18</f>
        <v>7275.5245300000006</v>
      </c>
      <c r="D20" s="81">
        <f t="shared" si="0"/>
        <v>2.476214103146765</v>
      </c>
      <c r="E20" s="79">
        <f t="shared" si="3"/>
        <v>6.131636284622938</v>
      </c>
      <c r="F20" s="117">
        <f>'HHI - Neživotno'!F18</f>
        <v>7748.8487100000002</v>
      </c>
      <c r="G20" s="81">
        <f t="shared" si="1"/>
        <v>2.4451839976362564</v>
      </c>
      <c r="H20" s="80">
        <f>G20^2</f>
        <v>5.9789247822964242</v>
      </c>
    </row>
    <row r="21" spans="2:10" x14ac:dyDescent="0.25">
      <c r="B21" s="40" t="s">
        <v>21</v>
      </c>
      <c r="C21" s="88">
        <f>'HHI - Neživotno'!C19</f>
        <v>7401.6409000000003</v>
      </c>
      <c r="D21" s="81">
        <f t="shared" si="0"/>
        <v>2.5191376247078523</v>
      </c>
      <c r="E21" s="79">
        <f t="shared" si="3"/>
        <v>6.3460543722187204</v>
      </c>
      <c r="F21" s="117">
        <f>'HHI - Neživotno'!F19</f>
        <v>7625.07827</v>
      </c>
      <c r="G21" s="81">
        <f t="shared" si="1"/>
        <v>2.4061276796469997</v>
      </c>
      <c r="H21" s="80">
        <f t="shared" si="2"/>
        <v>5.7894504107634548</v>
      </c>
    </row>
    <row r="22" spans="2:10" x14ac:dyDescent="0.25">
      <c r="B22" s="40" t="s">
        <v>6</v>
      </c>
      <c r="C22" s="88">
        <f>'HHI - Neživotno'!C30+'HHI - Životno'!C9</f>
        <v>6723.5032499999998</v>
      </c>
      <c r="D22" s="122">
        <f t="shared" si="0"/>
        <v>2.2883344701200681</v>
      </c>
      <c r="E22" s="79">
        <f>D22^2</f>
        <v>5.2364746471396924</v>
      </c>
      <c r="F22" s="117">
        <f>'HHI - Neživotno'!F30+'HHI - Životno'!F9</f>
        <v>7070.5322500000002</v>
      </c>
      <c r="G22" s="122">
        <f t="shared" si="1"/>
        <v>2.2311381934918528</v>
      </c>
      <c r="H22" s="80">
        <f>G22^2</f>
        <v>4.9779776384580883</v>
      </c>
    </row>
    <row r="23" spans="2:10" x14ac:dyDescent="0.25">
      <c r="B23" s="40" t="s">
        <v>17</v>
      </c>
      <c r="C23" s="88">
        <f>'HHI - Neživotno'!C20</f>
        <v>6069.1169500000005</v>
      </c>
      <c r="D23" s="81">
        <f t="shared" si="0"/>
        <v>2.0656150526698971</v>
      </c>
      <c r="E23" s="79">
        <f t="shared" si="3"/>
        <v>4.2667655458164617</v>
      </c>
      <c r="F23" s="117">
        <f>'HHI - Neživotno'!F20</f>
        <v>6853.3942800000004</v>
      </c>
      <c r="G23" s="81">
        <f t="shared" si="1"/>
        <v>2.1626193322527589</v>
      </c>
      <c r="H23" s="80">
        <f>G23^2</f>
        <v>4.6769223762333691</v>
      </c>
    </row>
    <row r="24" spans="2:10" x14ac:dyDescent="0.25">
      <c r="B24" s="40" t="s">
        <v>19</v>
      </c>
      <c r="C24" s="88">
        <f>'HHI - Neživotno'!C21</f>
        <v>4098.7780299999995</v>
      </c>
      <c r="D24" s="81">
        <f t="shared" si="0"/>
        <v>1.3950130910429508</v>
      </c>
      <c r="E24" s="79">
        <f>D24^2</f>
        <v>1.946061524181208</v>
      </c>
      <c r="F24" s="117">
        <f>'HHI - Neživotno'!F21</f>
        <v>5930.7865899999997</v>
      </c>
      <c r="G24" s="81">
        <f t="shared" si="1"/>
        <v>1.8714863337761178</v>
      </c>
      <c r="H24" s="80">
        <f>G24^2</f>
        <v>3.5024610975107748</v>
      </c>
    </row>
    <row r="25" spans="2:10" x14ac:dyDescent="0.25">
      <c r="B25" s="42" t="s">
        <v>15</v>
      </c>
      <c r="C25" s="88">
        <f>'HHI - Neživotno'!C22</f>
        <v>5090.3032899999998</v>
      </c>
      <c r="D25" s="81">
        <f t="shared" si="0"/>
        <v>1.7324772590646982</v>
      </c>
      <c r="E25" s="79">
        <f>D25^2</f>
        <v>3.0014774531763293</v>
      </c>
      <c r="F25" s="117">
        <f>'HHI - Neživotno'!F22</f>
        <v>5231.2245800000001</v>
      </c>
      <c r="G25" s="81">
        <f t="shared" si="1"/>
        <v>1.6507364009507735</v>
      </c>
      <c r="H25" s="80">
        <f>G25^2</f>
        <v>2.7249306654239125</v>
      </c>
    </row>
    <row r="26" spans="2:10" x14ac:dyDescent="0.25">
      <c r="B26" s="40" t="s">
        <v>35</v>
      </c>
      <c r="C26" s="88">
        <f>'HHI - Neživotno'!C23</f>
        <v>4696.8450800000001</v>
      </c>
      <c r="D26" s="81">
        <f t="shared" si="0"/>
        <v>1.598564334356178</v>
      </c>
      <c r="E26" s="79">
        <f>D26^2</f>
        <v>2.5554079310756102</v>
      </c>
      <c r="F26" s="117">
        <f>'HHI - Neživotno'!F23</f>
        <v>5185.6774299999997</v>
      </c>
      <c r="G26" s="81">
        <f t="shared" si="1"/>
        <v>1.6363637932917527</v>
      </c>
      <c r="H26" s="80">
        <f>G26^2</f>
        <v>2.6776864639961739</v>
      </c>
    </row>
    <row r="27" spans="2:10" x14ac:dyDescent="0.25">
      <c r="B27" s="40" t="s">
        <v>20</v>
      </c>
      <c r="C27" s="88">
        <f>'HHI - Neživotno'!C24</f>
        <v>3460.9584100000002</v>
      </c>
      <c r="D27" s="81">
        <f t="shared" si="0"/>
        <v>1.1779321188332799</v>
      </c>
      <c r="E27" s="79">
        <f t="shared" si="3"/>
        <v>1.3875240765790602</v>
      </c>
      <c r="F27" s="117">
        <f>'HHI - Neživotno'!F24</f>
        <v>4294.6802300000008</v>
      </c>
      <c r="G27" s="81">
        <f t="shared" si="1"/>
        <v>1.355205626844765</v>
      </c>
      <c r="H27" s="80">
        <f t="shared" si="2"/>
        <v>1.8365822910317124</v>
      </c>
    </row>
    <row r="28" spans="2:10" x14ac:dyDescent="0.25">
      <c r="B28" s="49" t="s">
        <v>28</v>
      </c>
      <c r="C28" s="89">
        <f>'HHI - Neživotno'!C26</f>
        <v>2627.1757900000002</v>
      </c>
      <c r="D28" s="81">
        <f t="shared" si="0"/>
        <v>0.89415542698249184</v>
      </c>
      <c r="E28" s="79">
        <f t="shared" si="3"/>
        <v>0.79951392760224227</v>
      </c>
      <c r="F28" s="118">
        <f>'HHI - Neživotno'!F26</f>
        <v>3818.8876</v>
      </c>
      <c r="G28" s="81">
        <f t="shared" si="1"/>
        <v>1.2050671264546509</v>
      </c>
      <c r="H28" s="80">
        <f>G28^2</f>
        <v>1.4521867792616694</v>
      </c>
    </row>
    <row r="29" spans="2:10" x14ac:dyDescent="0.25">
      <c r="B29" s="40" t="s">
        <v>18</v>
      </c>
      <c r="C29" s="88">
        <f>'HHI - Neživotno'!C27</f>
        <v>4998.5445099999997</v>
      </c>
      <c r="D29" s="81">
        <f t="shared" si="0"/>
        <v>1.701247292869595</v>
      </c>
      <c r="E29" s="79">
        <f>D29^2</f>
        <v>2.8942423514961253</v>
      </c>
      <c r="F29" s="117">
        <f>'HHI - Neživotno'!F27</f>
        <v>3569.7440499999998</v>
      </c>
      <c r="G29" s="81">
        <f t="shared" si="1"/>
        <v>1.1264487607627118</v>
      </c>
      <c r="H29" s="80">
        <f>G29^2</f>
        <v>1.2688868106238491</v>
      </c>
    </row>
    <row r="30" spans="2:10" x14ac:dyDescent="0.25">
      <c r="B30" s="49" t="s">
        <v>36</v>
      </c>
      <c r="C30" s="89" t="s">
        <v>29</v>
      </c>
      <c r="D30" s="109" t="s">
        <v>29</v>
      </c>
      <c r="E30" s="110" t="s">
        <v>29</v>
      </c>
      <c r="F30" s="118">
        <f>'HHI - Neživotno'!F28</f>
        <v>2106.01568</v>
      </c>
      <c r="G30" s="81">
        <f t="shared" si="1"/>
        <v>0.66456270243880378</v>
      </c>
      <c r="H30" s="80">
        <f>G30^2</f>
        <v>0.44164358547276605</v>
      </c>
    </row>
    <row r="31" spans="2:10" ht="16.5" thickBot="1" x14ac:dyDescent="0.3">
      <c r="B31" s="11" t="s">
        <v>2</v>
      </c>
      <c r="C31" s="136">
        <f t="shared" ref="C31:H31" si="6">SUM(C6:C30)</f>
        <v>293816.45636999997</v>
      </c>
      <c r="D31" s="83">
        <f t="shared" si="6"/>
        <v>100.00000000000001</v>
      </c>
      <c r="E31" s="83">
        <f t="shared" si="6"/>
        <v>595.46151697512869</v>
      </c>
      <c r="F31" s="136">
        <f t="shared" si="6"/>
        <v>316902.47921999992</v>
      </c>
      <c r="G31" s="83">
        <f t="shared" si="6"/>
        <v>100.00000000000003</v>
      </c>
      <c r="H31" s="84">
        <f t="shared" si="6"/>
        <v>577.0513861646649</v>
      </c>
    </row>
    <row r="33" spans="2:12" x14ac:dyDescent="0.25">
      <c r="B33" s="5"/>
      <c r="F33" s="31"/>
    </row>
    <row r="34" spans="2:12" x14ac:dyDescent="0.25">
      <c r="B34" s="60"/>
      <c r="C34" s="68" t="s">
        <v>30</v>
      </c>
      <c r="D34" s="167" t="s">
        <v>31</v>
      </c>
      <c r="E34" s="167"/>
      <c r="F34" s="59"/>
      <c r="G34" s="59"/>
      <c r="L34" s="30"/>
    </row>
    <row r="35" spans="2:12" x14ac:dyDescent="0.25">
      <c r="B35" s="53" t="s">
        <v>24</v>
      </c>
      <c r="C35" s="137">
        <f>SUM(D6:D9)/100</f>
        <v>0.35732605006912671</v>
      </c>
      <c r="D35" s="149">
        <f>SUM(G6:G9)/100</f>
        <v>0.34850454784018597</v>
      </c>
      <c r="E35" s="149"/>
      <c r="F35" s="65"/>
      <c r="G35" s="65"/>
    </row>
    <row r="36" spans="2:12" x14ac:dyDescent="0.25">
      <c r="B36" s="53" t="s">
        <v>0</v>
      </c>
      <c r="C36" s="69">
        <f>E31</f>
        <v>595.46151697512869</v>
      </c>
      <c r="D36" s="159">
        <f>H31</f>
        <v>577.0513861646649</v>
      </c>
      <c r="E36" s="159"/>
      <c r="F36" s="66"/>
      <c r="G36" s="66"/>
    </row>
    <row r="39" spans="2:12" x14ac:dyDescent="0.25">
      <c r="L39" s="43"/>
    </row>
    <row r="40" spans="2:12" x14ac:dyDescent="0.25">
      <c r="L40" s="43"/>
    </row>
    <row r="41" spans="2:12" x14ac:dyDescent="0.25">
      <c r="L41" s="33"/>
    </row>
    <row r="46" spans="2:12" x14ac:dyDescent="0.25">
      <c r="I46" s="6"/>
    </row>
  </sheetData>
  <mergeCells count="7">
    <mergeCell ref="D35:E35"/>
    <mergeCell ref="D36:E36"/>
    <mergeCell ref="B2:H2"/>
    <mergeCell ref="F4:H4"/>
    <mergeCell ref="B4:B5"/>
    <mergeCell ref="C4:E4"/>
    <mergeCell ref="D34:E34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scale="61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30.06.2016. godine.</oddFooter>
  </headerFooter>
  <ignoredErrors>
    <ignoredError sqref="F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2020-02-21T13:41:23Z</cp:lastPrinted>
  <dcterms:created xsi:type="dcterms:W3CDTF">2011-07-19T10:02:04Z</dcterms:created>
  <dcterms:modified xsi:type="dcterms:W3CDTF">2020-02-21T13:42:04Z</dcterms:modified>
</cp:coreProperties>
</file>