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F28" i="6" l="1"/>
  <c r="F30" i="7" s="1"/>
  <c r="F30" i="6"/>
  <c r="F29" i="6"/>
  <c r="F26" i="6"/>
  <c r="F28" i="7" s="1"/>
  <c r="F24" i="6"/>
  <c r="F27" i="7" s="1"/>
  <c r="F25" i="6"/>
  <c r="F21" i="6"/>
  <c r="F24" i="7" s="1"/>
  <c r="F27" i="6"/>
  <c r="F29" i="7" s="1"/>
  <c r="F22" i="6"/>
  <c r="F25" i="7" s="1"/>
  <c r="F23" i="6"/>
  <c r="F26" i="7" s="1"/>
  <c r="F20" i="6"/>
  <c r="F23" i="7" s="1"/>
  <c r="F19" i="6"/>
  <c r="F22" i="7" s="1"/>
  <c r="F18" i="6"/>
  <c r="F21" i="7" s="1"/>
  <c r="F16" i="6"/>
  <c r="F19" i="7" s="1"/>
  <c r="F15" i="6"/>
  <c r="F17" i="6"/>
  <c r="F20" i="7" s="1"/>
  <c r="F12" i="6"/>
  <c r="F13" i="6"/>
  <c r="F14" i="7" s="1"/>
  <c r="F14" i="6"/>
  <c r="F16" i="7" s="1"/>
  <c r="F9" i="6"/>
  <c r="F11" i="6"/>
  <c r="F10" i="6"/>
  <c r="F8" i="6"/>
  <c r="F7" i="6"/>
  <c r="F8" i="7" s="1"/>
  <c r="F6" i="6"/>
  <c r="F31" i="6" s="1"/>
  <c r="F15" i="5"/>
  <c r="F14" i="5"/>
  <c r="F13" i="5"/>
  <c r="F12" i="5"/>
  <c r="F11" i="5"/>
  <c r="F10" i="5"/>
  <c r="F8" i="5"/>
  <c r="F9" i="5"/>
  <c r="F7" i="5"/>
  <c r="F6" i="5"/>
  <c r="F12" i="7" l="1"/>
  <c r="F11" i="7"/>
  <c r="F17" i="7"/>
  <c r="F15" i="7"/>
  <c r="F7" i="7"/>
  <c r="F10" i="7"/>
  <c r="F6" i="7"/>
  <c r="F18" i="7"/>
  <c r="F13" i="7"/>
  <c r="G28" i="6"/>
  <c r="H28" i="6" s="1"/>
  <c r="F9" i="7"/>
  <c r="F31" i="7" s="1"/>
  <c r="C30" i="6"/>
  <c r="C29" i="6"/>
  <c r="C26" i="6"/>
  <c r="C24" i="6"/>
  <c r="C25" i="6"/>
  <c r="C21" i="6"/>
  <c r="C27" i="6"/>
  <c r="C22" i="6"/>
  <c r="C23" i="6"/>
  <c r="C20" i="6"/>
  <c r="C19" i="6"/>
  <c r="C18" i="6"/>
  <c r="C16" i="6"/>
  <c r="C15" i="6"/>
  <c r="C17" i="6"/>
  <c r="C12" i="6"/>
  <c r="C13" i="6"/>
  <c r="C14" i="6"/>
  <c r="C9" i="6"/>
  <c r="C11" i="6"/>
  <c r="C10" i="6"/>
  <c r="C8" i="6"/>
  <c r="C7" i="6"/>
  <c r="C6" i="6"/>
  <c r="C15" i="5"/>
  <c r="C14" i="5"/>
  <c r="C13" i="5"/>
  <c r="C12" i="5"/>
  <c r="C11" i="5"/>
  <c r="C10" i="5"/>
  <c r="C8" i="5"/>
  <c r="C9" i="5"/>
  <c r="C7" i="5"/>
  <c r="C6" i="5"/>
  <c r="C31" i="6" l="1"/>
  <c r="C28" i="7"/>
  <c r="C27" i="7"/>
  <c r="C24" i="7"/>
  <c r="C29" i="7"/>
  <c r="C25" i="7"/>
  <c r="C26" i="7"/>
  <c r="C23" i="7"/>
  <c r="C15" i="7"/>
  <c r="C22" i="7"/>
  <c r="C21" i="7"/>
  <c r="C19" i="7"/>
  <c r="C18" i="7"/>
  <c r="C20" i="7"/>
  <c r="C14" i="7"/>
  <c r="C16" i="7"/>
  <c r="C13" i="7"/>
  <c r="C17" i="7"/>
  <c r="C12" i="7"/>
  <c r="C11" i="7"/>
  <c r="C10" i="7"/>
  <c r="C9" i="7"/>
  <c r="C6" i="7"/>
  <c r="C8" i="7"/>
  <c r="C7" i="7"/>
  <c r="C31" i="7" l="1"/>
  <c r="D8" i="7" s="1"/>
  <c r="F16" i="5" l="1"/>
  <c r="G6" i="5" s="1"/>
  <c r="C16" i="5"/>
  <c r="D6" i="5" s="1"/>
  <c r="D11" i="6" l="1"/>
  <c r="E11" i="6" s="1"/>
  <c r="D26" i="6" l="1"/>
  <c r="E26" i="6" s="1"/>
  <c r="D27" i="6"/>
  <c r="E27" i="6" s="1"/>
  <c r="D19" i="6"/>
  <c r="E19" i="6" s="1"/>
  <c r="D16" i="6"/>
  <c r="E16" i="6" s="1"/>
  <c r="D13" i="6"/>
  <c r="E13" i="6" s="1"/>
  <c r="D9" i="6"/>
  <c r="E9" i="6" s="1"/>
  <c r="D6" i="6"/>
  <c r="D29" i="6"/>
  <c r="E29" i="6" s="1"/>
  <c r="D24" i="6"/>
  <c r="E24" i="6" s="1"/>
  <c r="D21" i="6"/>
  <c r="E21" i="6" s="1"/>
  <c r="D22" i="6"/>
  <c r="E22" i="6" s="1"/>
  <c r="D20" i="6"/>
  <c r="E20" i="6" s="1"/>
  <c r="D18" i="6"/>
  <c r="E18" i="6" s="1"/>
  <c r="D15" i="6"/>
  <c r="E15" i="6" s="1"/>
  <c r="D12" i="6"/>
  <c r="E12" i="6" s="1"/>
  <c r="D14" i="6"/>
  <c r="E14" i="6" s="1"/>
  <c r="D10" i="6"/>
  <c r="E10" i="6" s="1"/>
  <c r="D7" i="6"/>
  <c r="E7" i="6" s="1"/>
  <c r="D30" i="6"/>
  <c r="E30" i="6" s="1"/>
  <c r="D25" i="6"/>
  <c r="E25" i="6" s="1"/>
  <c r="D23" i="6"/>
  <c r="E23" i="6" s="1"/>
  <c r="D17" i="6"/>
  <c r="E17" i="6" s="1"/>
  <c r="D8" i="6"/>
  <c r="E8" i="6" s="1"/>
  <c r="D31" i="6" l="1"/>
  <c r="C35" i="6"/>
  <c r="E6" i="6"/>
  <c r="E31" i="6" s="1"/>
  <c r="E6" i="5" l="1"/>
  <c r="D13" i="5"/>
  <c r="E13" i="5" s="1"/>
  <c r="G7" i="7" l="1"/>
  <c r="D12" i="5"/>
  <c r="E12" i="5" s="1"/>
  <c r="D9" i="5"/>
  <c r="E9" i="5" s="1"/>
  <c r="D10" i="5"/>
  <c r="E10" i="5" s="1"/>
  <c r="D11" i="5"/>
  <c r="E11" i="5" s="1"/>
  <c r="D7" i="5"/>
  <c r="H6" i="5"/>
  <c r="G11" i="5"/>
  <c r="H11" i="5" s="1"/>
  <c r="G14" i="5"/>
  <c r="H14" i="5" s="1"/>
  <c r="D8" i="5"/>
  <c r="E8" i="5" s="1"/>
  <c r="D15" i="5"/>
  <c r="E15" i="5" s="1"/>
  <c r="D14" i="5"/>
  <c r="E14" i="5" s="1"/>
  <c r="G10" i="5"/>
  <c r="H10" i="5" s="1"/>
  <c r="E7" i="5" l="1"/>
  <c r="E16" i="5" s="1"/>
  <c r="C21" i="5" s="1"/>
  <c r="C20" i="5"/>
  <c r="D16" i="5"/>
  <c r="G8" i="6"/>
  <c r="G11" i="6"/>
  <c r="G14" i="6"/>
  <c r="G12" i="6"/>
  <c r="G15" i="6"/>
  <c r="G18" i="6"/>
  <c r="G20" i="6"/>
  <c r="G22" i="6"/>
  <c r="G21" i="6"/>
  <c r="G24" i="6"/>
  <c r="G29" i="6"/>
  <c r="G6" i="6"/>
  <c r="G7" i="6"/>
  <c r="G10" i="6"/>
  <c r="G9" i="6"/>
  <c r="G13" i="6"/>
  <c r="G17" i="6"/>
  <c r="G16" i="6"/>
  <c r="G19" i="6"/>
  <c r="G23" i="6"/>
  <c r="G27" i="6"/>
  <c r="G25" i="6"/>
  <c r="G26" i="6"/>
  <c r="G30" i="6"/>
  <c r="D24" i="7"/>
  <c r="E24" i="7" s="1"/>
  <c r="D28" i="7"/>
  <c r="E28" i="7" s="1"/>
  <c r="D6" i="7"/>
  <c r="D17" i="7"/>
  <c r="E17" i="7" s="1"/>
  <c r="D23" i="7"/>
  <c r="E23" i="7" s="1"/>
  <c r="D7" i="7"/>
  <c r="D11" i="7"/>
  <c r="E11" i="7" s="1"/>
  <c r="D16" i="7"/>
  <c r="E16" i="7" s="1"/>
  <c r="D12" i="7"/>
  <c r="E12" i="7" s="1"/>
  <c r="D10" i="7"/>
  <c r="E10" i="7" s="1"/>
  <c r="D9" i="7"/>
  <c r="E9" i="7" s="1"/>
  <c r="D20" i="7"/>
  <c r="E20" i="7" s="1"/>
  <c r="D29" i="7"/>
  <c r="E29" i="7" s="1"/>
  <c r="E8" i="7"/>
  <c r="D13" i="7"/>
  <c r="E13" i="7" s="1"/>
  <c r="D19" i="7"/>
  <c r="E19" i="7" s="1"/>
  <c r="D18" i="7"/>
  <c r="E18" i="7" s="1"/>
  <c r="D15" i="7"/>
  <c r="E15" i="7" s="1"/>
  <c r="D27" i="7"/>
  <c r="E27" i="7" s="1"/>
  <c r="D14" i="7"/>
  <c r="E14" i="7" s="1"/>
  <c r="D26" i="7"/>
  <c r="E26" i="7" s="1"/>
  <c r="D21" i="7"/>
  <c r="E21" i="7" s="1"/>
  <c r="D25" i="7"/>
  <c r="E25" i="7" s="1"/>
  <c r="D22" i="7"/>
  <c r="E22" i="7" s="1"/>
  <c r="G15" i="5"/>
  <c r="H15" i="5" s="1"/>
  <c r="G8" i="5"/>
  <c r="H8" i="5" s="1"/>
  <c r="G13" i="5"/>
  <c r="H13" i="5" s="1"/>
  <c r="G9" i="5"/>
  <c r="H9" i="5" s="1"/>
  <c r="G7" i="5"/>
  <c r="G12" i="5"/>
  <c r="H12" i="5" s="1"/>
  <c r="H6" i="6"/>
  <c r="D31" i="7" l="1"/>
  <c r="C35" i="7"/>
  <c r="C7" i="4"/>
  <c r="C6" i="4"/>
  <c r="E6" i="7"/>
  <c r="D35" i="6"/>
  <c r="G31" i="6"/>
  <c r="D20" i="5"/>
  <c r="G16" i="5"/>
  <c r="C8" i="4"/>
  <c r="E7" i="7"/>
  <c r="H7" i="5"/>
  <c r="H16" i="5" s="1"/>
  <c r="D21" i="5" s="1"/>
  <c r="G8" i="7"/>
  <c r="E31" i="7" l="1"/>
  <c r="C36" i="7" s="1"/>
  <c r="H8" i="7"/>
  <c r="C36" i="6"/>
  <c r="H26" i="6"/>
  <c r="G25" i="7"/>
  <c r="H25" i="7" s="1"/>
  <c r="G20" i="7"/>
  <c r="H20" i="7" s="1"/>
  <c r="G24" i="7"/>
  <c r="H24" i="7" s="1"/>
  <c r="G27" i="7"/>
  <c r="H27" i="7" s="1"/>
  <c r="G26" i="7"/>
  <c r="H26" i="7" s="1"/>
  <c r="G22" i="7"/>
  <c r="H22" i="7" s="1"/>
  <c r="G12" i="7"/>
  <c r="H12" i="7" s="1"/>
  <c r="G9" i="7"/>
  <c r="H9" i="7" s="1"/>
  <c r="G28" i="7"/>
  <c r="H28" i="7" s="1"/>
  <c r="G23" i="7"/>
  <c r="H23" i="7" s="1"/>
  <c r="G21" i="7"/>
  <c r="H21" i="7" s="1"/>
  <c r="G14" i="7"/>
  <c r="H14" i="7" s="1"/>
  <c r="G17" i="7"/>
  <c r="H17" i="7" s="1"/>
  <c r="G15" i="7"/>
  <c r="H15" i="7" s="1"/>
  <c r="G13" i="7"/>
  <c r="H13" i="7" s="1"/>
  <c r="G6" i="7"/>
  <c r="G19" i="7"/>
  <c r="H19" i="7" s="1"/>
  <c r="G29" i="7"/>
  <c r="H29" i="7" s="1"/>
  <c r="G16" i="7"/>
  <c r="H16" i="7" s="1"/>
  <c r="G10" i="7"/>
  <c r="H10" i="7" s="1"/>
  <c r="D35" i="7" l="1"/>
  <c r="H6" i="7"/>
  <c r="D6" i="4"/>
  <c r="D8" i="4"/>
  <c r="H24" i="6"/>
  <c r="H29" i="6"/>
  <c r="H18" i="6"/>
  <c r="H30" i="6"/>
  <c r="H17" i="6"/>
  <c r="H15" i="6"/>
  <c r="H23" i="6"/>
  <c r="H16" i="6"/>
  <c r="H13" i="6"/>
  <c r="H10" i="6"/>
  <c r="H21" i="6"/>
  <c r="H25" i="6"/>
  <c r="H20" i="6"/>
  <c r="H22" i="6"/>
  <c r="H19" i="6"/>
  <c r="H27" i="6"/>
  <c r="H12" i="6"/>
  <c r="H14" i="6"/>
  <c r="H9" i="6"/>
  <c r="H8" i="6"/>
  <c r="H11" i="6" l="1"/>
  <c r="H7" i="6"/>
  <c r="G11" i="7"/>
  <c r="G18" i="7"/>
  <c r="H18" i="7" s="1"/>
  <c r="H7" i="7"/>
  <c r="D7" i="4" l="1"/>
  <c r="G31" i="7"/>
  <c r="H31" i="6"/>
  <c r="D36" i="6" s="1"/>
  <c r="H11" i="7"/>
  <c r="H31" i="7" s="1"/>
  <c r="D36" i="7" l="1"/>
</calcChain>
</file>

<file path=xl/sharedStrings.xml><?xml version="1.0" encoding="utf-8"?>
<sst xmlns="http://schemas.openxmlformats.org/spreadsheetml/2006/main" count="132" uniqueCount="46">
  <si>
    <t>HHI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</si>
  <si>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</si>
  <si>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</si>
  <si>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</si>
  <si>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</si>
  <si>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</si>
  <si>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</si>
  <si>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</si>
  <si>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</si>
  <si>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</si>
  <si>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</si>
  <si>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</si>
  <si>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Bobar osiguranje a.d.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</si>
  <si>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</si>
  <si>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</si>
  <si>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</si>
  <si>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</si>
  <si>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</si>
  <si>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</si>
  <si>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</si>
  <si>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</si>
  <si>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</si>
  <si>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</si>
  <si>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</si>
  <si>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</si>
  <si>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Tržišni udio prva četiri društva</t>
  </si>
  <si>
    <t>Bosna-Sunce osiguranje d.d.</t>
  </si>
  <si>
    <t>Sarajevo-osiguranje d.d.</t>
  </si>
  <si>
    <t>Wiener osiguranje a.d.***</t>
  </si>
  <si>
    <t>Osiguranje Garant d.d.</t>
  </si>
  <si>
    <t>I K 2015.*</t>
  </si>
  <si>
    <t>I K 2016.**</t>
  </si>
  <si>
    <t>Koncentracija tržišta osiguranja u BiH za prvi kvartal 2015. i 2016.</t>
  </si>
  <si>
    <t>HHI indeks za tržište životnog osiguranja u BiH za prvi kvartal 2015. i 2016. godine</t>
  </si>
  <si>
    <t>HHI indeks za tržište neživotnog osiguranja u BiH  za prvi kvartal 2015. i 2016. godine</t>
  </si>
  <si>
    <t>HHI indeks za tržište životnog i neživotnog osiguranja u BiH  za prvi kvartal 2015. i 2016. godine</t>
  </si>
  <si>
    <t>-</t>
  </si>
  <si>
    <t>Euros osiguranje a.d.</t>
  </si>
  <si>
    <t>Prvih pet osiguravatelja</t>
  </si>
  <si>
    <t>Prvih deset osiguravatelja</t>
  </si>
  <si>
    <t>*Podatci se odnose na razdoblje od 01.01. do 31.03.2015. godine.</t>
  </si>
  <si>
    <t>**Podatci se odnose na razdoblje od 01.01. do 31.03.2016. godine.</t>
  </si>
  <si>
    <t>Osiguravajuće društvo</t>
  </si>
  <si>
    <t>Premija (u tisućama KM)</t>
  </si>
  <si>
    <t>***Od 01.12.2014. godine Jahorina osiguranje a.d. Pale</t>
  </si>
  <si>
    <t>promijenilo je naziv u Wiener osiguranje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</si>
</sst>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Bookman Old Style"/>
      <family val="1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2" fillId="0" borderId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0" fillId="23" borderId="7" applyNumberFormat="0" applyFont="0" applyAlignment="0" applyProtection="0"/>
    <xf numFmtId="0" fontId="22" fillId="20" borderId="8" applyNumberFormat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/>
    <xf numFmtId="0" fontId="4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27" fillId="0" borderId="0" xfId="40" applyFont="1"/>
    <xf numFmtId="0" fontId="27" fillId="0" borderId="0" xfId="151" applyFont="1"/>
    <xf numFmtId="1" fontId="27" fillId="0" borderId="0" xfId="151" applyNumberFormat="1" applyFont="1"/>
    <xf numFmtId="0" fontId="29" fillId="0" borderId="0" xfId="151" applyFont="1"/>
    <xf numFmtId="0" fontId="29" fillId="0" borderId="0" xfId="151" applyFont="1" applyAlignment="1">
      <alignment horizontal="left"/>
    </xf>
    <xf numFmtId="3" fontId="29" fillId="0" borderId="0" xfId="151" applyNumberFormat="1" applyFont="1"/>
    <xf numFmtId="0" fontId="29" fillId="0" borderId="0" xfId="151" applyFont="1" applyBorder="1"/>
    <xf numFmtId="0" fontId="32" fillId="0" borderId="0" xfId="151" applyFont="1" applyBorder="1"/>
    <xf numFmtId="3" fontId="27" fillId="0" borderId="0" xfId="151" applyNumberFormat="1" applyFont="1" applyBorder="1"/>
    <xf numFmtId="3" fontId="31" fillId="0" borderId="0" xfId="151" applyNumberFormat="1" applyFont="1" applyBorder="1"/>
    <xf numFmtId="0" fontId="35" fillId="26" borderId="16" xfId="151" applyFont="1" applyFill="1" applyBorder="1" applyAlignment="1">
      <alignment horizontal="right" vertical="center" wrapText="1"/>
    </xf>
    <xf numFmtId="0" fontId="35" fillId="26" borderId="10" xfId="151" applyFont="1" applyFill="1" applyBorder="1" applyAlignment="1">
      <alignment horizontal="center" vertical="center" wrapText="1"/>
    </xf>
    <xf numFmtId="0" fontId="35" fillId="26" borderId="10" xfId="151" applyFont="1" applyFill="1" applyBorder="1" applyAlignment="1">
      <alignment horizontal="center" vertical="center"/>
    </xf>
    <xf numFmtId="0" fontId="35" fillId="26" borderId="15" xfId="151" applyFont="1" applyFill="1" applyBorder="1" applyAlignment="1">
      <alignment horizontal="center" vertical="center"/>
    </xf>
    <xf numFmtId="2" fontId="36" fillId="25" borderId="10" xfId="151" applyNumberFormat="1" applyFont="1" applyFill="1" applyBorder="1" applyAlignment="1">
      <alignment horizontal="right"/>
    </xf>
    <xf numFmtId="1" fontId="36" fillId="0" borderId="15" xfId="151" applyNumberFormat="1" applyFont="1" applyBorder="1" applyAlignment="1">
      <alignment horizontal="right"/>
    </xf>
    <xf numFmtId="2" fontId="36" fillId="0" borderId="10" xfId="151" applyNumberFormat="1" applyFont="1" applyFill="1" applyBorder="1" applyAlignment="1">
      <alignment horizontal="right"/>
    </xf>
    <xf numFmtId="0" fontId="35" fillId="26" borderId="16" xfId="151" applyFont="1" applyFill="1" applyBorder="1" applyAlignment="1">
      <alignment horizontal="right" wrapText="1"/>
    </xf>
    <xf numFmtId="3" fontId="35" fillId="26" borderId="17" xfId="151" applyNumberFormat="1" applyFont="1" applyFill="1" applyBorder="1" applyAlignment="1">
      <alignment horizontal="right"/>
    </xf>
    <xf numFmtId="1" fontId="35" fillId="26" borderId="17" xfId="151" applyNumberFormat="1" applyFont="1" applyFill="1" applyBorder="1" applyAlignment="1">
      <alignment horizontal="right"/>
    </xf>
    <xf numFmtId="1" fontId="34" fillId="24" borderId="15" xfId="151" applyNumberFormat="1" applyFont="1" applyFill="1" applyBorder="1" applyAlignment="1">
      <alignment horizontal="right"/>
    </xf>
    <xf numFmtId="1" fontId="33" fillId="26" borderId="17" xfId="151" applyNumberFormat="1" applyFont="1" applyFill="1" applyBorder="1" applyAlignment="1">
      <alignment horizontal="right"/>
    </xf>
    <xf numFmtId="1" fontId="33" fillId="26" borderId="18" xfId="151" applyNumberFormat="1" applyFont="1" applyFill="1" applyBorder="1" applyAlignment="1">
      <alignment horizontal="right"/>
    </xf>
    <xf numFmtId="0" fontId="33" fillId="25" borderId="11" xfId="40" applyFont="1" applyFill="1" applyBorder="1" applyAlignment="1">
      <alignment horizontal="center" vertical="center"/>
    </xf>
    <xf numFmtId="0" fontId="33" fillId="25" borderId="12" xfId="40" applyFont="1" applyFill="1" applyBorder="1" applyAlignment="1">
      <alignment horizontal="center" vertical="center"/>
    </xf>
    <xf numFmtId="0" fontId="33" fillId="25" borderId="13" xfId="40" applyFont="1" applyFill="1" applyBorder="1" applyAlignment="1">
      <alignment horizontal="center" vertical="center"/>
    </xf>
    <xf numFmtId="0" fontId="34" fillId="0" borderId="14" xfId="40" applyFont="1" applyBorder="1" applyAlignment="1">
      <alignment horizontal="left"/>
    </xf>
    <xf numFmtId="0" fontId="34" fillId="0" borderId="16" xfId="40" applyFont="1" applyBorder="1" applyAlignment="1">
      <alignment horizontal="left"/>
    </xf>
    <xf numFmtId="0" fontId="37" fillId="0" borderId="0" xfId="40" applyFont="1"/>
    <xf numFmtId="3" fontId="35" fillId="26" borderId="18" xfId="151" applyNumberFormat="1" applyFont="1" applyFill="1" applyBorder="1" applyAlignment="1">
      <alignment horizontal="right" vertical="center"/>
    </xf>
    <xf numFmtId="3" fontId="38" fillId="0" borderId="0" xfId="151" applyNumberFormat="1" applyFont="1" applyFill="1" applyBorder="1" applyAlignment="1">
      <alignment horizontal="right" wrapText="1"/>
    </xf>
    <xf numFmtId="0" fontId="39" fillId="0" borderId="0" xfId="0" applyFont="1"/>
    <xf numFmtId="3" fontId="40" fillId="0" borderId="0" xfId="151" applyNumberFormat="1" applyFont="1"/>
    <xf numFmtId="3" fontId="38" fillId="0" borderId="0" xfId="151" applyNumberFormat="1" applyFont="1" applyFill="1" applyBorder="1" applyAlignment="1">
      <alignment horizontal="right" vertical="center"/>
    </xf>
    <xf numFmtId="0" fontId="42" fillId="0" borderId="0" xfId="40" applyFont="1" applyBorder="1" applyAlignment="1"/>
    <xf numFmtId="4" fontId="29" fillId="0" borderId="0" xfId="151" applyNumberFormat="1" applyFont="1"/>
    <xf numFmtId="3" fontId="27" fillId="0" borderId="0" xfId="151" applyNumberFormat="1" applyFont="1"/>
    <xf numFmtId="0" fontId="43" fillId="0" borderId="14" xfId="151" applyFont="1" applyBorder="1" applyAlignment="1">
      <alignment horizontal="left" wrapText="1"/>
    </xf>
    <xf numFmtId="0" fontId="43" fillId="0" borderId="14" xfId="151" applyFont="1" applyBorder="1" applyAlignment="1">
      <alignment horizontal="left"/>
    </xf>
    <xf numFmtId="0" fontId="43" fillId="24" borderId="14" xfId="151" applyFont="1" applyFill="1" applyBorder="1" applyAlignment="1">
      <alignment horizontal="left"/>
    </xf>
    <xf numFmtId="0" fontId="43" fillId="24" borderId="14" xfId="151" applyFont="1" applyFill="1" applyBorder="1" applyAlignment="1">
      <alignment horizontal="left" wrapText="1"/>
    </xf>
    <xf numFmtId="1" fontId="29" fillId="0" borderId="0" xfId="151" applyNumberFormat="1" applyFont="1"/>
    <xf numFmtId="0" fontId="43" fillId="24" borderId="14" xfId="151" applyFont="1" applyFill="1" applyBorder="1" applyAlignment="1">
      <alignment horizontal="justify" vertical="center"/>
    </xf>
    <xf numFmtId="0" fontId="43" fillId="24" borderId="14" xfId="151" applyFont="1" applyFill="1" applyBorder="1" applyAlignment="1">
      <alignment horizontal="justify" vertical="center" wrapText="1"/>
    </xf>
    <xf numFmtId="0" fontId="43" fillId="24" borderId="14" xfId="151" applyFont="1" applyFill="1" applyBorder="1" applyAlignment="1">
      <alignment horizontal="left" vertical="center"/>
    </xf>
    <xf numFmtId="3" fontId="44" fillId="0" borderId="0" xfId="151" applyNumberFormat="1" applyFont="1"/>
    <xf numFmtId="0" fontId="45" fillId="0" borderId="14" xfId="151" applyFont="1" applyBorder="1" applyAlignment="1">
      <alignment wrapText="1"/>
    </xf>
    <xf numFmtId="0" fontId="45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4" fillId="0" borderId="0" xfId="151" applyNumberFormat="1" applyFont="1"/>
    <xf numFmtId="0" fontId="45" fillId="24" borderId="14" xfId="151" applyFont="1" applyFill="1" applyBorder="1" applyAlignment="1">
      <alignment horizontal="justify" vertical="center"/>
    </xf>
    <xf numFmtId="0" fontId="43" fillId="24" borderId="22" xfId="151" applyFont="1" applyFill="1" applyBorder="1" applyAlignment="1">
      <alignment horizontal="justify" vertical="center"/>
    </xf>
    <xf numFmtId="3" fontId="47" fillId="26" borderId="17" xfId="151" applyNumberFormat="1" applyFont="1" applyFill="1" applyBorder="1" applyAlignment="1">
      <alignment horizontal="right"/>
    </xf>
    <xf numFmtId="4" fontId="12" fillId="0" borderId="0" xfId="0" applyNumberFormat="1" applyFont="1"/>
    <xf numFmtId="0" fontId="33" fillId="0" borderId="10" xfId="151" applyFont="1" applyBorder="1" applyAlignment="1">
      <alignment horizontal="left"/>
    </xf>
    <xf numFmtId="2" fontId="43" fillId="25" borderId="10" xfId="151" applyNumberFormat="1" applyFont="1" applyFill="1" applyBorder="1" applyAlignment="1">
      <alignment horizontal="right"/>
    </xf>
    <xf numFmtId="1" fontId="43" fillId="0" borderId="10" xfId="151" applyNumberFormat="1" applyFont="1" applyBorder="1" applyAlignment="1">
      <alignment horizontal="right"/>
    </xf>
    <xf numFmtId="1" fontId="46" fillId="0" borderId="0" xfId="151" applyNumberFormat="1" applyFont="1"/>
    <xf numFmtId="0" fontId="27" fillId="0" borderId="0" xfId="151" applyFont="1" applyBorder="1"/>
    <xf numFmtId="10" fontId="43" fillId="0" borderId="0" xfId="151" applyNumberFormat="1" applyFont="1" applyBorder="1" applyAlignment="1">
      <alignment horizontal="center"/>
    </xf>
    <xf numFmtId="3" fontId="43" fillId="0" borderId="0" xfId="151" applyNumberFormat="1" applyFont="1" applyBorder="1" applyAlignment="1">
      <alignment horizontal="center"/>
    </xf>
    <xf numFmtId="0" fontId="33" fillId="0" borderId="0" xfId="151" applyFont="1" applyFill="1" applyBorder="1" applyAlignment="1">
      <alignment horizontal="center"/>
    </xf>
    <xf numFmtId="0" fontId="34" fillId="25" borderId="10" xfId="151" applyFont="1" applyFill="1" applyBorder="1" applyAlignment="1">
      <alignment horizontal="center"/>
    </xf>
    <xf numFmtId="0" fontId="33" fillId="25" borderId="10" xfId="151" applyFont="1" applyFill="1" applyBorder="1" applyAlignment="1">
      <alignment horizontal="center"/>
    </xf>
    <xf numFmtId="3" fontId="43" fillId="0" borderId="10" xfId="151" applyNumberFormat="1" applyFont="1" applyBorder="1" applyAlignment="1">
      <alignment horizontal="center"/>
    </xf>
    <xf numFmtId="3" fontId="49" fillId="0" borderId="10" xfId="151" applyNumberFormat="1" applyFont="1" applyBorder="1" applyAlignment="1">
      <alignment horizontal="center" vertical="center"/>
    </xf>
    <xf numFmtId="0" fontId="33" fillId="0" borderId="0" xfId="151" applyFont="1" applyFill="1" applyBorder="1" applyAlignment="1">
      <alignment horizontal="center" vertical="center"/>
    </xf>
    <xf numFmtId="10" fontId="43" fillId="0" borderId="0" xfId="151" applyNumberFormat="1" applyFont="1" applyFill="1" applyBorder="1" applyAlignment="1">
      <alignment horizontal="center"/>
    </xf>
    <xf numFmtId="3" fontId="43" fillId="0" borderId="0" xfId="151" applyNumberFormat="1" applyFont="1" applyFill="1" applyBorder="1" applyAlignment="1">
      <alignment horizontal="center"/>
    </xf>
    <xf numFmtId="0" fontId="50" fillId="25" borderId="10" xfId="151" applyFont="1" applyFill="1" applyBorder="1" applyAlignment="1">
      <alignment horizontal="center" vertical="center"/>
    </xf>
    <xf numFmtId="0" fontId="50" fillId="25" borderId="10" xfId="151" applyFont="1" applyFill="1" applyBorder="1" applyAlignment="1">
      <alignment horizontal="center"/>
    </xf>
    <xf numFmtId="1" fontId="49" fillId="0" borderId="10" xfId="151" applyNumberFormat="1" applyFont="1" applyBorder="1" applyAlignment="1">
      <alignment horizontal="center"/>
    </xf>
    <xf numFmtId="0" fontId="34" fillId="25" borderId="10" xfId="151" applyFont="1" applyFill="1" applyBorder="1" applyAlignment="1"/>
    <xf numFmtId="0" fontId="33" fillId="0" borderId="10" xfId="151" applyFont="1" applyBorder="1" applyAlignment="1"/>
    <xf numFmtId="0" fontId="29" fillId="0" borderId="0" xfId="151" applyFont="1" applyFill="1" applyBorder="1"/>
    <xf numFmtId="3" fontId="47" fillId="0" borderId="0" xfId="151" applyNumberFormat="1" applyFont="1" applyFill="1" applyBorder="1" applyAlignment="1">
      <alignment horizontal="right"/>
    </xf>
    <xf numFmtId="3" fontId="44" fillId="0" borderId="0" xfId="151" applyNumberFormat="1" applyFont="1" applyFill="1" applyBorder="1"/>
    <xf numFmtId="1" fontId="43" fillId="24" borderId="10" xfId="151" applyNumberFormat="1" applyFont="1" applyFill="1" applyBorder="1" applyAlignment="1">
      <alignment horizontal="right"/>
    </xf>
    <xf numFmtId="2" fontId="43" fillId="0" borderId="10" xfId="151" applyNumberFormat="1" applyFont="1" applyFill="1" applyBorder="1" applyAlignment="1">
      <alignment horizontal="right"/>
    </xf>
    <xf numFmtId="1" fontId="47" fillId="26" borderId="17" xfId="151" applyNumberFormat="1" applyFont="1" applyFill="1" applyBorder="1" applyAlignment="1">
      <alignment horizontal="right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1" fontId="34" fillId="24" borderId="15" xfId="151" applyNumberFormat="1" applyFont="1" applyFill="1" applyBorder="1" applyAlignment="1">
      <alignment horizontal="right" vertical="center"/>
    </xf>
    <xf numFmtId="2" fontId="34" fillId="0" borderId="10" xfId="151" applyNumberFormat="1" applyFont="1" applyFill="1" applyBorder="1" applyAlignment="1">
      <alignment horizontal="right" vertical="center"/>
    </xf>
    <xf numFmtId="2" fontId="34" fillId="27" borderId="10" xfId="151" applyNumberFormat="1" applyFont="1" applyFill="1" applyBorder="1" applyAlignment="1">
      <alignment horizontal="right" vertical="center"/>
    </xf>
    <xf numFmtId="1" fontId="33" fillId="26" borderId="17" xfId="151" applyNumberFormat="1" applyFont="1" applyFill="1" applyBorder="1" applyAlignment="1">
      <alignment horizontal="right" vertical="center"/>
    </xf>
    <xf numFmtId="1" fontId="33" fillId="26" borderId="18" xfId="151" applyNumberFormat="1" applyFont="1" applyFill="1" applyBorder="1" applyAlignment="1">
      <alignment horizontal="right" vertical="center"/>
    </xf>
    <xf numFmtId="0" fontId="48" fillId="0" borderId="0" xfId="204" applyFont="1" applyBorder="1" applyAlignment="1">
      <alignment horizontal="left"/>
    </xf>
    <xf numFmtId="0" fontId="46" fillId="0" borderId="0" xfId="151" applyFont="1"/>
    <xf numFmtId="0" fontId="44" fillId="0" borderId="0" xfId="151" applyFont="1"/>
    <xf numFmtId="3" fontId="43" fillId="24" borderId="10" xfId="151" applyNumberFormat="1" applyFont="1" applyFill="1" applyBorder="1" applyAlignment="1">
      <alignment horizontal="right" vertical="center"/>
    </xf>
    <xf numFmtId="3" fontId="43" fillId="24" borderId="23" xfId="151" applyNumberFormat="1" applyFont="1" applyFill="1" applyBorder="1" applyAlignment="1">
      <alignment horizontal="right" vertical="center"/>
    </xf>
    <xf numFmtId="3" fontId="47" fillId="26" borderId="17" xfId="151" applyNumberFormat="1" applyFont="1" applyFill="1" applyBorder="1" applyAlignment="1">
      <alignment horizontal="right" vertical="center"/>
    </xf>
    <xf numFmtId="3" fontId="43" fillId="0" borderId="10" xfId="151" applyNumberFormat="1" applyFont="1" applyFill="1" applyBorder="1" applyAlignment="1">
      <alignment horizontal="right"/>
    </xf>
    <xf numFmtId="3" fontId="43" fillId="24" borderId="10" xfId="151" applyNumberFormat="1" applyFont="1" applyFill="1" applyBorder="1" applyAlignment="1">
      <alignment horizontal="right"/>
    </xf>
    <xf numFmtId="2" fontId="43" fillId="27" borderId="10" xfId="151" applyNumberFormat="1" applyFont="1" applyFill="1" applyBorder="1" applyAlignment="1">
      <alignment horizontal="right"/>
    </xf>
    <xf numFmtId="0" fontId="37" fillId="0" borderId="0" xfId="151" applyFont="1" applyBorder="1"/>
    <xf numFmtId="4" fontId="48" fillId="0" borderId="0" xfId="206" applyNumberFormat="1" applyFont="1" applyBorder="1" applyAlignment="1" applyProtection="1">
      <alignment horizontal="right"/>
      <protection locked="0"/>
    </xf>
    <xf numFmtId="4" fontId="48" fillId="0" borderId="0" xfId="206" applyNumberFormat="1" applyFont="1" applyBorder="1" applyAlignment="1" applyProtection="1">
      <alignment horizontal="right"/>
    </xf>
    <xf numFmtId="3" fontId="43" fillId="0" borderId="10" xfId="151" applyNumberFormat="1" applyFont="1" applyFill="1" applyBorder="1" applyAlignment="1">
      <alignment horizontal="right" wrapText="1"/>
    </xf>
    <xf numFmtId="3" fontId="43" fillId="0" borderId="10" xfId="151" applyNumberFormat="1" applyFont="1" applyBorder="1" applyAlignment="1">
      <alignment horizontal="right" wrapText="1"/>
    </xf>
    <xf numFmtId="0" fontId="52" fillId="0" borderId="0" xfId="151" applyFont="1" applyBorder="1"/>
    <xf numFmtId="4" fontId="53" fillId="0" borderId="0" xfId="206" applyNumberFormat="1" applyFont="1" applyBorder="1" applyAlignment="1" applyProtection="1">
      <alignment horizontal="right"/>
      <protection locked="0"/>
    </xf>
    <xf numFmtId="4" fontId="53" fillId="0" borderId="0" xfId="206" applyNumberFormat="1" applyFont="1" applyBorder="1" applyAlignment="1" applyProtection="1">
      <alignment horizontal="right"/>
    </xf>
    <xf numFmtId="4" fontId="54" fillId="0" borderId="0" xfId="151" applyNumberFormat="1" applyFont="1" applyBorder="1"/>
    <xf numFmtId="4" fontId="55" fillId="0" borderId="0" xfId="204" applyNumberFormat="1" applyFont="1" applyBorder="1"/>
    <xf numFmtId="0" fontId="53" fillId="0" borderId="0" xfId="204" applyFont="1" applyBorder="1" applyAlignment="1">
      <alignment horizontal="left"/>
    </xf>
    <xf numFmtId="0" fontId="29" fillId="0" borderId="0" xfId="151" applyFont="1" applyAlignment="1"/>
    <xf numFmtId="0" fontId="43" fillId="24" borderId="22" xfId="151" applyFont="1" applyFill="1" applyBorder="1" applyAlignment="1">
      <alignment horizontal="left"/>
    </xf>
    <xf numFmtId="3" fontId="43" fillId="24" borderId="23" xfId="151" applyNumberFormat="1" applyFont="1" applyFill="1" applyBorder="1" applyAlignment="1">
      <alignment horizontal="right"/>
    </xf>
    <xf numFmtId="2" fontId="43" fillId="0" borderId="23" xfId="151" applyNumberFormat="1" applyFont="1" applyFill="1" applyBorder="1" applyAlignment="1">
      <alignment horizontal="right"/>
    </xf>
    <xf numFmtId="1" fontId="43" fillId="24" borderId="23" xfId="151" applyNumberFormat="1" applyFont="1" applyFill="1" applyBorder="1" applyAlignment="1">
      <alignment horizontal="right"/>
    </xf>
    <xf numFmtId="3" fontId="33" fillId="0" borderId="0" xfId="151" applyNumberFormat="1" applyFont="1" applyFill="1" applyBorder="1" applyAlignment="1">
      <alignment horizontal="right" vertical="center"/>
    </xf>
    <xf numFmtId="2" fontId="34" fillId="0" borderId="23" xfId="151" applyNumberFormat="1" applyFont="1" applyFill="1" applyBorder="1" applyAlignment="1">
      <alignment horizontal="right" vertical="center"/>
    </xf>
    <xf numFmtId="1" fontId="34" fillId="24" borderId="23" xfId="151" applyNumberFormat="1" applyFont="1" applyFill="1" applyBorder="1" applyAlignment="1">
      <alignment horizontal="right" vertical="center"/>
    </xf>
    <xf numFmtId="1" fontId="34" fillId="24" borderId="25" xfId="151" applyNumberFormat="1" applyFont="1" applyFill="1" applyBorder="1" applyAlignment="1">
      <alignment horizontal="right" vertical="center"/>
    </xf>
    <xf numFmtId="0" fontId="56" fillId="0" borderId="0" xfId="151" applyFont="1" applyBorder="1"/>
    <xf numFmtId="0" fontId="57" fillId="0" borderId="0" xfId="151" applyFont="1" applyBorder="1"/>
    <xf numFmtId="4" fontId="55" fillId="0" borderId="0" xfId="206" applyNumberFormat="1" applyFont="1" applyBorder="1" applyAlignment="1" applyProtection="1">
      <alignment horizontal="right"/>
      <protection locked="0"/>
    </xf>
    <xf numFmtId="4" fontId="55" fillId="0" borderId="0" xfId="206" applyNumberFormat="1" applyFont="1" applyBorder="1" applyAlignment="1" applyProtection="1">
      <alignment horizontal="right"/>
    </xf>
    <xf numFmtId="0" fontId="58" fillId="0" borderId="0" xfId="204" applyFont="1" applyBorder="1" applyAlignment="1">
      <alignment horizontal="left"/>
    </xf>
    <xf numFmtId="3" fontId="43" fillId="24" borderId="21" xfId="151" applyNumberFormat="1" applyFont="1" applyFill="1" applyBorder="1" applyAlignment="1">
      <alignment horizontal="right" vertical="center"/>
    </xf>
    <xf numFmtId="3" fontId="43" fillId="24" borderId="24" xfId="151" applyNumberFormat="1" applyFont="1" applyFill="1" applyBorder="1" applyAlignment="1">
      <alignment horizontal="right" vertical="center"/>
    </xf>
    <xf numFmtId="3" fontId="43" fillId="0" borderId="21" xfId="151" applyNumberFormat="1" applyFont="1" applyFill="1" applyBorder="1" applyAlignment="1">
      <alignment horizontal="right"/>
    </xf>
    <xf numFmtId="3" fontId="43" fillId="24" borderId="21" xfId="151" applyNumberFormat="1" applyFont="1" applyFill="1" applyBorder="1" applyAlignment="1">
      <alignment horizontal="right"/>
    </xf>
    <xf numFmtId="3" fontId="43" fillId="24" borderId="24" xfId="151" applyNumberFormat="1" applyFont="1" applyFill="1" applyBorder="1" applyAlignment="1">
      <alignment horizontal="right"/>
    </xf>
    <xf numFmtId="0" fontId="29" fillId="0" borderId="0" xfId="151" applyFont="1" applyFill="1"/>
    <xf numFmtId="0" fontId="58" fillId="0" borderId="0" xfId="204" applyFont="1" applyFill="1" applyBorder="1" applyAlignment="1">
      <alignment horizontal="left"/>
    </xf>
    <xf numFmtId="3" fontId="43" fillId="0" borderId="0" xfId="0" applyNumberFormat="1" applyFont="1"/>
    <xf numFmtId="10" fontId="43" fillId="0" borderId="17" xfId="40" applyNumberFormat="1" applyFont="1" applyBorder="1" applyAlignment="1">
      <alignment horizontal="center"/>
    </xf>
    <xf numFmtId="10" fontId="43" fillId="0" borderId="18" xfId="40" applyNumberFormat="1" applyFont="1" applyBorder="1" applyAlignment="1">
      <alignment horizontal="center"/>
    </xf>
    <xf numFmtId="2" fontId="43" fillId="0" borderId="10" xfId="151" applyNumberFormat="1" applyFont="1" applyFill="1" applyBorder="1" applyAlignment="1">
      <alignment horizontal="right" vertical="center"/>
    </xf>
    <xf numFmtId="10" fontId="43" fillId="0" borderId="10" xfId="151" applyNumberFormat="1" applyFont="1" applyBorder="1" applyAlignment="1">
      <alignment horizontal="center"/>
    </xf>
    <xf numFmtId="10" fontId="43" fillId="0" borderId="10" xfId="40" applyNumberFormat="1" applyFont="1" applyBorder="1" applyAlignment="1">
      <alignment horizontal="center"/>
    </xf>
    <xf numFmtId="10" fontId="43" fillId="0" borderId="15" xfId="40" applyNumberFormat="1" applyFont="1" applyBorder="1" applyAlignment="1">
      <alignment horizontal="center"/>
    </xf>
    <xf numFmtId="2" fontId="43" fillId="27" borderId="10" xfId="151" applyNumberFormat="1" applyFont="1" applyFill="1" applyBorder="1" applyAlignment="1">
      <alignment horizontal="right" vertical="center"/>
    </xf>
    <xf numFmtId="0" fontId="34" fillId="0" borderId="14" xfId="40" applyFont="1" applyBorder="1"/>
    <xf numFmtId="0" fontId="51" fillId="0" borderId="19" xfId="40" applyFont="1" applyBorder="1" applyAlignment="1">
      <alignment horizontal="center"/>
    </xf>
    <xf numFmtId="0" fontId="51" fillId="0" borderId="20" xfId="40" applyFont="1" applyBorder="1" applyAlignment="1">
      <alignment horizontal="center"/>
    </xf>
    <xf numFmtId="0" fontId="51" fillId="0" borderId="21" xfId="40" applyFont="1" applyBorder="1" applyAlignment="1">
      <alignment horizontal="center"/>
    </xf>
    <xf numFmtId="10" fontId="43" fillId="0" borderId="10" xfId="151" applyNumberFormat="1" applyFont="1" applyBorder="1" applyAlignment="1">
      <alignment horizontal="center"/>
    </xf>
    <xf numFmtId="3" fontId="3" fillId="0" borderId="10" xfId="151" applyNumberFormat="1" applyFont="1" applyBorder="1" applyAlignment="1">
      <alignment horizontal="center" vertic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5" fillId="25" borderId="12" xfId="151" applyFont="1" applyFill="1" applyBorder="1" applyAlignment="1">
      <alignment horizontal="center" vertical="center"/>
    </xf>
    <xf numFmtId="0" fontId="35" fillId="25" borderId="13" xfId="151" applyFont="1" applyFill="1" applyBorder="1" applyAlignment="1">
      <alignment horizontal="center" vertical="center"/>
    </xf>
    <xf numFmtId="0" fontId="35" fillId="25" borderId="11" xfId="151" applyFont="1" applyFill="1" applyBorder="1" applyAlignment="1">
      <alignment horizontal="center" vertical="center" wrapText="1"/>
    </xf>
    <xf numFmtId="0" fontId="35" fillId="25" borderId="14" xfId="151" applyFont="1" applyFill="1" applyBorder="1" applyAlignment="1">
      <alignment horizontal="center" vertical="center" wrapText="1"/>
    </xf>
    <xf numFmtId="0" fontId="33" fillId="25" borderId="10" xfId="151" applyFont="1" applyFill="1" applyBorder="1" applyAlignment="1">
      <alignment horizontal="center"/>
    </xf>
    <xf numFmtId="3" fontId="43" fillId="0" borderId="10" xfId="151" applyNumberFormat="1" applyFont="1" applyBorder="1" applyAlignment="1">
      <alignment horizontal="center"/>
    </xf>
    <xf numFmtId="0" fontId="30" fillId="0" borderId="19" xfId="151" applyFont="1" applyBorder="1" applyAlignment="1">
      <alignment horizontal="center"/>
    </xf>
    <xf numFmtId="0" fontId="30" fillId="0" borderId="20" xfId="151" applyFont="1" applyBorder="1" applyAlignment="1">
      <alignment horizontal="center"/>
    </xf>
    <xf numFmtId="0" fontId="30" fillId="0" borderId="21" xfId="151" applyFont="1" applyBorder="1" applyAlignment="1">
      <alignment horizontal="center"/>
    </xf>
    <xf numFmtId="0" fontId="50" fillId="25" borderId="10" xfId="151" applyFont="1" applyFill="1" applyBorder="1" applyAlignment="1">
      <alignment horizontal="center" vertical="center"/>
    </xf>
    <xf numFmtId="0" fontId="50" fillId="25" borderId="10" xfId="151" applyFont="1" applyFill="1" applyBorder="1" applyAlignment="1">
      <alignment horizontal="center"/>
    </xf>
  </cellXfs>
  <cellStyles count="21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61" xfId="214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3" xfId="207"/>
    <cellStyle name="Note" xfId="198" builtinId="10" customBuiltin="1"/>
    <cellStyle name="Obično 2" xfId="204"/>
    <cellStyle name="Obično 2 2" xfId="208"/>
    <cellStyle name="Obično 3" xfId="209"/>
    <cellStyle name="Obično 3 2" xfId="213"/>
    <cellStyle name="Obično 3 3" xfId="215"/>
    <cellStyle name="Obično 4" xfId="210"/>
    <cellStyle name="Obično_12a Izvjestaji drustava za osiguranje" xfId="21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Udio!$B$6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Udio!$C$6:$D$6</c:f>
              <c:numCache>
                <c:formatCode>0.00%</c:formatCode>
                <c:ptCount val="2"/>
                <c:pt idx="0">
                  <c:v>0.44114164649036652</c:v>
                </c:pt>
                <c:pt idx="1">
                  <c:v>0.42391705262526158</c:v>
                </c:pt>
              </c:numCache>
            </c:numRef>
          </c:val>
        </c:ser>
        <c:ser>
          <c:idx val="1"/>
          <c:order val="1"/>
          <c:tx>
            <c:strRef>
              <c:f>Udio!$B$7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Udio!$C$7:$D$7</c:f>
              <c:numCache>
                <c:formatCode>0.00%</c:formatCode>
                <c:ptCount val="2"/>
                <c:pt idx="0">
                  <c:v>0.71002149882266929</c:v>
                </c:pt>
                <c:pt idx="1">
                  <c:v>0.67593272268665661</c:v>
                </c:pt>
              </c:numCache>
            </c:numRef>
          </c:val>
        </c:ser>
        <c:ser>
          <c:idx val="2"/>
          <c:order val="2"/>
          <c:tx>
            <c:strRef>
              <c:f>Udio!$B$8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Udio!$C$8:$D$8</c:f>
              <c:numCache>
                <c:formatCode>0.00%</c:formatCode>
                <c:ptCount val="2"/>
                <c:pt idx="0">
                  <c:v>0.12071158898465488</c:v>
                </c:pt>
                <c:pt idx="1">
                  <c:v>9.7441050211494601E-2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011904"/>
        <c:axId val="86015360"/>
        <c:axId val="0"/>
      </c:bar3DChart>
      <c:catAx>
        <c:axId val="860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6015360"/>
        <c:crosses val="autoZero"/>
        <c:auto val="1"/>
        <c:lblAlgn val="ctr"/>
        <c:lblOffset val="100"/>
        <c:noMultiLvlLbl val="0"/>
      </c:catAx>
      <c:valAx>
        <c:axId val="860153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601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'HHI - Životno'!$C$20:$D$20</c:f>
              <c:numCache>
                <c:formatCode>0.00%</c:formatCode>
                <c:ptCount val="2"/>
                <c:pt idx="0">
                  <c:v>0.76969221393039622</c:v>
                </c:pt>
                <c:pt idx="1">
                  <c:v>0.76722183986542747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72544"/>
        <c:axId val="89374080"/>
      </c:barChart>
      <c:lineChart>
        <c:grouping val="standard"/>
        <c:varyColors val="0"/>
        <c:ser>
          <c:idx val="1"/>
          <c:order val="1"/>
          <c:tx>
            <c:strRef>
              <c:f>'HHI - Životno'!$B$21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'HHI - Životno'!$C$21:$D$21</c:f>
              <c:numCache>
                <c:formatCode>#,##0</c:formatCode>
                <c:ptCount val="2"/>
                <c:pt idx="0">
                  <c:v>1710.0478573390174</c:v>
                </c:pt>
                <c:pt idx="1">
                  <c:v>1707.5187634578933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07936"/>
        <c:axId val="96428416"/>
      </c:lineChart>
      <c:catAx>
        <c:axId val="893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9374080"/>
        <c:crosses val="autoZero"/>
        <c:auto val="1"/>
        <c:lblAlgn val="ctr"/>
        <c:lblOffset val="100"/>
        <c:noMultiLvlLbl val="0"/>
      </c:catAx>
      <c:valAx>
        <c:axId val="89374080"/>
        <c:scaling>
          <c:orientation val="minMax"/>
          <c:max val="0.85000000000000109"/>
          <c:min val="0.75000000000000111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9372544"/>
        <c:crosses val="autoZero"/>
        <c:crossBetween val="between"/>
      </c:valAx>
      <c:catAx>
        <c:axId val="91207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6428416"/>
        <c:crosses val="autoZero"/>
        <c:auto val="1"/>
        <c:lblAlgn val="ctr"/>
        <c:lblOffset val="100"/>
        <c:noMultiLvlLbl val="0"/>
      </c:catAx>
      <c:valAx>
        <c:axId val="96428416"/>
        <c:scaling>
          <c:orientation val="minMax"/>
          <c:max val="185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120793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Neživotno'!$B$35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Neživotno'!$C$34:$D$34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'HHI - Neživotno'!$C$35:$D$35</c:f>
              <c:numCache>
                <c:formatCode>0.00%</c:formatCode>
                <c:ptCount val="2"/>
                <c:pt idx="0">
                  <c:v>0.41856699551518584</c:v>
                </c:pt>
                <c:pt idx="1">
                  <c:v>0.37685377771979256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48928"/>
        <c:axId val="67220608"/>
      </c:barChart>
      <c:lineChart>
        <c:grouping val="stacked"/>
        <c:varyColors val="0"/>
        <c:ser>
          <c:idx val="1"/>
          <c:order val="1"/>
          <c:tx>
            <c:strRef>
              <c:f>'HHI - Neživotno'!$B$36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Neživotno'!$C$34:$D$34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'HHI - Neživotno'!$C$36:$D$36</c:f>
              <c:numCache>
                <c:formatCode>#,##0</c:formatCode>
                <c:ptCount val="2"/>
                <c:pt idx="0">
                  <c:v>697.46608199012167</c:v>
                </c:pt>
                <c:pt idx="1">
                  <c:v>631.10256046534562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22144"/>
        <c:axId val="67232128"/>
      </c:lineChart>
      <c:catAx>
        <c:axId val="1103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220608"/>
        <c:crossesAt val="0.35000000000000031"/>
        <c:auto val="1"/>
        <c:lblAlgn val="ctr"/>
        <c:lblOffset val="100"/>
        <c:noMultiLvlLbl val="0"/>
      </c:catAx>
      <c:valAx>
        <c:axId val="67220608"/>
        <c:scaling>
          <c:orientation val="minMax"/>
          <c:max val="0.5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0348928"/>
        <c:crosses val="autoZero"/>
        <c:crossBetween val="between"/>
      </c:valAx>
      <c:catAx>
        <c:axId val="6722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7232128"/>
        <c:crosses val="autoZero"/>
        <c:auto val="1"/>
        <c:lblAlgn val="ctr"/>
        <c:lblOffset val="100"/>
        <c:noMultiLvlLbl val="0"/>
      </c:catAx>
      <c:valAx>
        <c:axId val="67232128"/>
        <c:scaling>
          <c:orientation val="minMax"/>
          <c:max val="75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722214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Ukupno'!$B$35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Ukupno'!$C$34:$E$34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'HHI - Ukupno'!$C$35:$D$35</c:f>
              <c:numCache>
                <c:formatCode>0.00%</c:formatCode>
                <c:ptCount val="2"/>
                <c:pt idx="0">
                  <c:v>0.37186770348579967</c:v>
                </c:pt>
                <c:pt idx="1">
                  <c:v>0.35463023549202666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58240"/>
        <c:axId val="69264128"/>
      </c:barChart>
      <c:lineChart>
        <c:grouping val="stacked"/>
        <c:varyColors val="0"/>
        <c:ser>
          <c:idx val="1"/>
          <c:order val="1"/>
          <c:tx>
            <c:strRef>
              <c:f>'HHI - Ukupno'!$B$36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Ukupno'!$C$34:$D$34</c:f>
              <c:strCache>
                <c:ptCount val="2"/>
                <c:pt idx="0">
                  <c:v>I K 2015.*</c:v>
                </c:pt>
                <c:pt idx="1">
                  <c:v>I K 2016.**</c:v>
                </c:pt>
              </c:strCache>
            </c:strRef>
          </c:cat>
          <c:val>
            <c:numRef>
              <c:f>'HHI - Ukupno'!$C$36:$D$36</c:f>
              <c:numCache>
                <c:formatCode>#,##0</c:formatCode>
                <c:ptCount val="2"/>
                <c:pt idx="0" formatCode="0">
                  <c:v>621.49583254140657</c:v>
                </c:pt>
                <c:pt idx="1">
                  <c:v>582.37327959833033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65664"/>
        <c:axId val="69345280"/>
      </c:lineChart>
      <c:catAx>
        <c:axId val="692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9264128"/>
        <c:crossesAt val="0.30000000000000032"/>
        <c:auto val="1"/>
        <c:lblAlgn val="ctr"/>
        <c:lblOffset val="100"/>
        <c:noMultiLvlLbl val="0"/>
      </c:catAx>
      <c:valAx>
        <c:axId val="69264128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9258240"/>
        <c:crosses val="autoZero"/>
        <c:crossBetween val="between"/>
        <c:majorUnit val="0.05"/>
        <c:minorUnit val="1.0000000000000005E-2"/>
      </c:valAx>
      <c:catAx>
        <c:axId val="6926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9345280"/>
        <c:crossesAt val="500"/>
        <c:auto val="1"/>
        <c:lblAlgn val="ctr"/>
        <c:lblOffset val="100"/>
        <c:noMultiLvlLbl val="0"/>
      </c:catAx>
      <c:valAx>
        <c:axId val="69345280"/>
        <c:scaling>
          <c:orientation val="minMax"/>
          <c:max val="650"/>
          <c:min val="50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926566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19050</xdr:rowOff>
    </xdr:from>
    <xdr:to>
      <xdr:col>2</xdr:col>
      <xdr:colOff>1038225</xdr:colOff>
      <xdr:row>25</xdr:row>
      <xdr:rowOff>28575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</xdr:row>
      <xdr:rowOff>38099</xdr:rowOff>
    </xdr:from>
    <xdr:to>
      <xdr:col>5</xdr:col>
      <xdr:colOff>0</xdr:colOff>
      <xdr:row>42</xdr:row>
      <xdr:rowOff>152399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38</xdr:row>
      <xdr:rowOff>19050</xdr:rowOff>
    </xdr:from>
    <xdr:to>
      <xdr:col>4</xdr:col>
      <xdr:colOff>495300</xdr:colOff>
      <xdr:row>54</xdr:row>
      <xdr:rowOff>190500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38</xdr:row>
      <xdr:rowOff>19050</xdr:rowOff>
    </xdr:from>
    <xdr:to>
      <xdr:col>4</xdr:col>
      <xdr:colOff>495300</xdr:colOff>
      <xdr:row>55</xdr:row>
      <xdr:rowOff>9525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showGridLines="0" tabSelected="1" showRuler="0" view="pageLayout" zoomScaleNormal="100" workbookViewId="0">
      <selection activeCell="B3" sqref="B3:D3"/>
    </sheetView>
  </sheetViews>
  <sheetFormatPr defaultColWidth="10.42578125" defaultRowHeight="12.75" x14ac:dyDescent="0.2"/>
  <cols>
    <col min="1" max="1" width="3" style="1" customWidth="1"/>
    <col min="2" max="2" width="36.140625" style="1" customWidth="1"/>
    <col min="3" max="3" width="15.7109375" style="1" customWidth="1"/>
    <col min="4" max="4" width="16" style="1" customWidth="1"/>
    <col min="5" max="16384" width="10.42578125" style="1"/>
  </cols>
  <sheetData>
    <row r="3" spans="2:4" ht="15.75" x14ac:dyDescent="0.25">
      <c r="B3" s="138" t="s">
        <v>32</v>
      </c>
      <c r="C3" s="139"/>
      <c r="D3" s="140"/>
    </row>
    <row r="4" spans="2:4" ht="13.5" thickBot="1" x14ac:dyDescent="0.25"/>
    <row r="5" spans="2:4" ht="26.25" customHeight="1" x14ac:dyDescent="0.2">
      <c r="B5" s="24" t="s">
        <v>24</v>
      </c>
      <c r="C5" s="25" t="s">
        <v>30</v>
      </c>
      <c r="D5" s="26" t="s">
        <v>31</v>
      </c>
    </row>
    <row r="6" spans="2:4" ht="15" x14ac:dyDescent="0.25">
      <c r="B6" s="137" t="s">
        <v>38</v>
      </c>
      <c r="C6" s="134">
        <f>('HHI - Ukupno'!D6+'HHI - Ukupno'!D7+'HHI - Ukupno'!D8+'HHI - Ukupno'!D9+'HHI - Ukupno'!D10)/100</f>
        <v>0.44114164649036652</v>
      </c>
      <c r="D6" s="135">
        <f>SUM('HHI - Ukupno'!G6+'HHI - Ukupno'!G7+'HHI - Ukupno'!G8+'HHI - Ukupno'!G9+'HHI - Ukupno'!G10)/100</f>
        <v>0.42391705262526158</v>
      </c>
    </row>
    <row r="7" spans="2:4" ht="15" x14ac:dyDescent="0.25">
      <c r="B7" s="27" t="s">
        <v>39</v>
      </c>
      <c r="C7" s="134">
        <f>('HHI - Ukupno'!D6+'HHI - Ukupno'!D7+'HHI - Ukupno'!D8+'HHI - Ukupno'!D9+'HHI - Ukupno'!D10+'HHI - Ukupno'!D11+'HHI - Ukupno'!D12+'HHI - Ukupno'!D13+'HHI - Ukupno'!D16+'HHI - Ukupno'!D17)/100</f>
        <v>0.71002149882266929</v>
      </c>
      <c r="D7" s="135">
        <f>SUM('HHI - Ukupno'!G6+'HHI - Ukupno'!G7+'HHI - Ukupno'!G8+'HHI - Ukupno'!G9+'HHI - Ukupno'!G10+'HHI - Ukupno'!G11+'HHI - Ukupno'!G12+'HHI - Ukupno'!G13+'HHI - Ukupno'!G14+'HHI - Ukupno'!G15)/100</f>
        <v>0.67593272268665661</v>
      </c>
    </row>
    <row r="8" spans="2:4" ht="15.75" thickBot="1" x14ac:dyDescent="0.3">
      <c r="B8" s="28" t="s">
        <v>23</v>
      </c>
      <c r="C8" s="130">
        <f>'HHI - Ukupno'!D7/100</f>
        <v>0.12071158898465488</v>
      </c>
      <c r="D8" s="131">
        <f>'HHI - Ukupno'!G6/100</f>
        <v>9.7441050211494601E-2</v>
      </c>
    </row>
    <row r="28" spans="2:7" x14ac:dyDescent="0.2">
      <c r="B28" s="32" t="s">
        <v>40</v>
      </c>
      <c r="G28" s="29"/>
    </row>
    <row r="30" spans="2:7" x14ac:dyDescent="0.2">
      <c r="B30" s="32" t="s">
        <v>41</v>
      </c>
    </row>
  </sheetData>
  <mergeCells count="1">
    <mergeCell ref="B3:D3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"/>
  <sheetViews>
    <sheetView showGridLines="0" showRuler="0" view="pageLayout" zoomScaleNormal="100" workbookViewId="0">
      <selection activeCell="B2" sqref="B2:H2"/>
    </sheetView>
  </sheetViews>
  <sheetFormatPr defaultColWidth="10.42578125" defaultRowHeight="12.75" x14ac:dyDescent="0.2"/>
  <cols>
    <col min="1" max="1" width="3.5703125" style="2" customWidth="1"/>
    <col min="2" max="2" width="29.42578125" style="2" customWidth="1"/>
    <col min="3" max="3" width="16.7109375" style="2" customWidth="1"/>
    <col min="4" max="4" width="8.28515625" style="2" customWidth="1"/>
    <col min="5" max="5" width="7.5703125" style="2" customWidth="1"/>
    <col min="6" max="6" width="16.7109375" style="2" customWidth="1"/>
    <col min="7" max="7" width="7.85546875" style="2" customWidth="1"/>
    <col min="8" max="8" width="7.5703125" style="2" customWidth="1"/>
    <col min="9" max="9" width="8.28515625" style="2" bestFit="1" customWidth="1"/>
    <col min="10" max="10" width="7.28515625" style="2" bestFit="1" customWidth="1"/>
    <col min="11" max="11" width="12.7109375" style="2" bestFit="1" customWidth="1"/>
    <col min="12" max="12" width="10.5703125" style="2" bestFit="1" customWidth="1"/>
    <col min="13" max="13" width="11.7109375" style="2" bestFit="1" customWidth="1"/>
    <col min="14" max="14" width="12.7109375" style="2" bestFit="1" customWidth="1"/>
    <col min="15" max="15" width="11.7109375" style="2" bestFit="1" customWidth="1"/>
    <col min="16" max="17" width="10.5703125" style="2" bestFit="1" customWidth="1"/>
    <col min="18" max="18" width="11.7109375" style="2" bestFit="1" customWidth="1"/>
    <col min="19" max="19" width="11.28515625" style="2" bestFit="1" customWidth="1"/>
    <col min="20" max="20" width="11.7109375" style="2" bestFit="1" customWidth="1"/>
    <col min="21" max="21" width="11.28515625" style="2" bestFit="1" customWidth="1"/>
    <col min="22" max="16384" width="10.42578125" style="2"/>
  </cols>
  <sheetData>
    <row r="1" spans="2:10" ht="15.75" customHeight="1" x14ac:dyDescent="0.2"/>
    <row r="2" spans="2:10" ht="15.75" x14ac:dyDescent="0.25">
      <c r="B2" s="143" t="s">
        <v>33</v>
      </c>
      <c r="C2" s="144"/>
      <c r="D2" s="144"/>
      <c r="E2" s="144"/>
      <c r="F2" s="144"/>
      <c r="G2" s="144"/>
      <c r="H2" s="145"/>
      <c r="I2" s="4"/>
    </row>
    <row r="3" spans="2:10" ht="16.5" thickBot="1" x14ac:dyDescent="0.3">
      <c r="B3" s="35"/>
      <c r="C3" s="4"/>
      <c r="D3" s="4"/>
      <c r="E3" s="4"/>
      <c r="F3" s="4"/>
      <c r="G3" s="4"/>
      <c r="H3" s="4"/>
      <c r="I3" s="4"/>
    </row>
    <row r="4" spans="2:10" ht="15.75" x14ac:dyDescent="0.25">
      <c r="B4" s="148" t="s">
        <v>42</v>
      </c>
      <c r="C4" s="146" t="s">
        <v>30</v>
      </c>
      <c r="D4" s="146"/>
      <c r="E4" s="146"/>
      <c r="F4" s="146" t="s">
        <v>31</v>
      </c>
      <c r="G4" s="146"/>
      <c r="H4" s="147"/>
      <c r="I4" s="4"/>
    </row>
    <row r="5" spans="2:10" ht="42" customHeight="1" x14ac:dyDescent="0.25">
      <c r="B5" s="149"/>
      <c r="C5" s="12" t="s">
        <v>43</v>
      </c>
      <c r="D5" s="12" t="s">
        <v>1</v>
      </c>
      <c r="E5" s="13" t="s">
        <v>0</v>
      </c>
      <c r="F5" s="12" t="s">
        <v>43</v>
      </c>
      <c r="G5" s="12" t="s">
        <v>1</v>
      </c>
      <c r="H5" s="14" t="s">
        <v>0</v>
      </c>
      <c r="I5" s="4"/>
    </row>
    <row r="6" spans="2:10" ht="15.75" x14ac:dyDescent="0.25">
      <c r="B6" s="38" t="s">
        <v>4</v>
      </c>
      <c r="C6" s="100">
        <f>6330235.01/1000</f>
        <v>6330.2350099999994</v>
      </c>
      <c r="D6" s="56">
        <f t="shared" ref="D6:D15" si="0">C6/C$16*100</f>
        <v>22.161647042454454</v>
      </c>
      <c r="E6" s="57">
        <f>D6^2</f>
        <v>491.13859963433026</v>
      </c>
      <c r="F6" s="100">
        <f>7758921.55/1000</f>
        <v>7758.92155</v>
      </c>
      <c r="G6" s="15">
        <f t="shared" ref="G6:G15" si="1">F6/F$16*100</f>
        <v>25.800301848959968</v>
      </c>
      <c r="H6" s="16">
        <f>G6^2</f>
        <v>665.6555754974471</v>
      </c>
      <c r="I6" s="4"/>
      <c r="J6" s="32" t="s">
        <v>40</v>
      </c>
    </row>
    <row r="7" spans="2:10" ht="15.75" x14ac:dyDescent="0.25">
      <c r="B7" s="38" t="s">
        <v>3</v>
      </c>
      <c r="C7" s="100">
        <f>7107256.22000001/1000</f>
        <v>7107.2562200000102</v>
      </c>
      <c r="D7" s="56">
        <f t="shared" si="0"/>
        <v>24.881936221816396</v>
      </c>
      <c r="E7" s="57">
        <f>D7^2</f>
        <v>619.11075014653875</v>
      </c>
      <c r="F7" s="129">
        <f>6328166.99/1000</f>
        <v>6328.1669900000006</v>
      </c>
      <c r="G7" s="15">
        <f t="shared" si="1"/>
        <v>21.042694843669924</v>
      </c>
      <c r="H7" s="16">
        <f>G7^2</f>
        <v>442.79500628381282</v>
      </c>
      <c r="I7" s="4"/>
    </row>
    <row r="8" spans="2:10" ht="15.75" x14ac:dyDescent="0.25">
      <c r="B8" s="39" t="s">
        <v>6</v>
      </c>
      <c r="C8" s="100">
        <f>3120153.45/1000</f>
        <v>3120.1534500000002</v>
      </c>
      <c r="D8" s="56">
        <f t="shared" si="0"/>
        <v>10.92340795688667</v>
      </c>
      <c r="E8" s="57">
        <f>D8^2</f>
        <v>119.32084139257502</v>
      </c>
      <c r="F8" s="100">
        <f>5619614.28/1000</f>
        <v>5619.6142800000007</v>
      </c>
      <c r="G8" s="15">
        <f t="shared" si="1"/>
        <v>18.686584696648449</v>
      </c>
      <c r="H8" s="16">
        <f>G8^2</f>
        <v>349.18844762501601</v>
      </c>
      <c r="I8" s="4"/>
      <c r="J8" s="32" t="s">
        <v>41</v>
      </c>
    </row>
    <row r="9" spans="2:10" ht="15.75" x14ac:dyDescent="0.25">
      <c r="B9" s="38" t="s">
        <v>5</v>
      </c>
      <c r="C9" s="100">
        <f>5427781.72/1000</f>
        <v>5427.78172</v>
      </c>
      <c r="D9" s="56">
        <f t="shared" si="0"/>
        <v>19.002230171882097</v>
      </c>
      <c r="E9" s="57">
        <f t="shared" ref="E9:E15" si="2">D9^2</f>
        <v>361.08475150518632</v>
      </c>
      <c r="F9" s="100">
        <f>3365949.98/1000</f>
        <v>3365.9499799999999</v>
      </c>
      <c r="G9" s="15">
        <f t="shared" si="1"/>
        <v>11.192602597264404</v>
      </c>
      <c r="H9" s="16">
        <f t="shared" ref="H9:H15" si="3">G9^2</f>
        <v>125.27435290028988</v>
      </c>
      <c r="I9" s="4"/>
    </row>
    <row r="10" spans="2:10" ht="15.75" x14ac:dyDescent="0.25">
      <c r="B10" s="38" t="s">
        <v>8</v>
      </c>
      <c r="C10" s="101">
        <f>2006318.57/1000</f>
        <v>2006.3185700000001</v>
      </c>
      <c r="D10" s="17">
        <f t="shared" si="0"/>
        <v>7.0239610271691886</v>
      </c>
      <c r="E10" s="57">
        <f t="shared" si="2"/>
        <v>49.336028511191643</v>
      </c>
      <c r="F10" s="100">
        <f>2340167.55/1000</f>
        <v>2340.1675499999997</v>
      </c>
      <c r="G10" s="17">
        <f t="shared" si="1"/>
        <v>7.7816264513128255</v>
      </c>
      <c r="H10" s="16">
        <f t="shared" si="3"/>
        <v>60.55371022777144</v>
      </c>
      <c r="I10" s="4"/>
      <c r="J10" s="32" t="s">
        <v>44</v>
      </c>
    </row>
    <row r="11" spans="2:10" ht="15.75" x14ac:dyDescent="0.25">
      <c r="B11" s="38" t="s">
        <v>7</v>
      </c>
      <c r="C11" s="100">
        <f>1713810.5/1000</f>
        <v>1713.8105</v>
      </c>
      <c r="D11" s="17">
        <f t="shared" si="0"/>
        <v>5.9999136428036648</v>
      </c>
      <c r="E11" s="57">
        <f t="shared" si="2"/>
        <v>35.998963721101546</v>
      </c>
      <c r="F11" s="100">
        <f>1839737.32/1000</f>
        <v>1839.73732</v>
      </c>
      <c r="G11" s="17">
        <f t="shared" si="1"/>
        <v>6.1175741851387393</v>
      </c>
      <c r="H11" s="16">
        <f t="shared" si="3"/>
        <v>37.424713910675912</v>
      </c>
      <c r="I11" s="4"/>
      <c r="J11" s="2" t="s">
        <v>45</v>
      </c>
    </row>
    <row r="12" spans="2:10" ht="15.75" x14ac:dyDescent="0.25">
      <c r="B12" s="38" t="s">
        <v>26</v>
      </c>
      <c r="C12" s="101">
        <f>1324613/1000</f>
        <v>1324.6130000000001</v>
      </c>
      <c r="D12" s="17">
        <f t="shared" si="0"/>
        <v>4.6373642886043065</v>
      </c>
      <c r="E12" s="57">
        <f t="shared" si="2"/>
        <v>21.505147545222524</v>
      </c>
      <c r="F12" s="100">
        <f>1023233.58/1000</f>
        <v>1023.23358</v>
      </c>
      <c r="G12" s="17">
        <f t="shared" si="1"/>
        <v>3.4025005995829312</v>
      </c>
      <c r="H12" s="16">
        <f t="shared" si="3"/>
        <v>11.577010330162206</v>
      </c>
      <c r="I12" s="4"/>
    </row>
    <row r="13" spans="2:10" ht="15.75" x14ac:dyDescent="0.25">
      <c r="B13" s="38" t="s">
        <v>27</v>
      </c>
      <c r="C13" s="101">
        <f>874431.09/1000</f>
        <v>874.43108999999993</v>
      </c>
      <c r="D13" s="17">
        <f t="shared" si="0"/>
        <v>3.0613133870884086</v>
      </c>
      <c r="E13" s="57">
        <f t="shared" si="2"/>
        <v>9.3716396539667048</v>
      </c>
      <c r="F13" s="100">
        <f>906983.65/1000</f>
        <v>906.98365000000001</v>
      </c>
      <c r="G13" s="17">
        <f t="shared" si="1"/>
        <v>3.0159412994801396</v>
      </c>
      <c r="H13" s="16">
        <f t="shared" si="3"/>
        <v>9.0959019219099524</v>
      </c>
      <c r="I13" s="4"/>
      <c r="J13" s="32"/>
    </row>
    <row r="14" spans="2:10" ht="15.75" x14ac:dyDescent="0.25">
      <c r="B14" s="47" t="s">
        <v>28</v>
      </c>
      <c r="C14" s="101">
        <f>474912.6/1000</f>
        <v>474.9126</v>
      </c>
      <c r="D14" s="17">
        <f t="shared" si="0"/>
        <v>1.6626310714512249</v>
      </c>
      <c r="E14" s="57">
        <f t="shared" si="2"/>
        <v>2.764342079755048</v>
      </c>
      <c r="F14" s="100">
        <f>711785.31/1000</f>
        <v>711.78531000000009</v>
      </c>
      <c r="G14" s="17">
        <f t="shared" si="1"/>
        <v>2.3668593284920565</v>
      </c>
      <c r="H14" s="16">
        <f t="shared" si="3"/>
        <v>5.602023080869869</v>
      </c>
      <c r="I14" s="4"/>
      <c r="J14" s="32"/>
    </row>
    <row r="15" spans="2:10" ht="15.75" x14ac:dyDescent="0.25">
      <c r="B15" s="38" t="s">
        <v>9</v>
      </c>
      <c r="C15" s="101">
        <f>184407.29/1000</f>
        <v>184.40729000000002</v>
      </c>
      <c r="D15" s="17">
        <f t="shared" si="0"/>
        <v>0.64559518984359821</v>
      </c>
      <c r="E15" s="57">
        <f t="shared" si="2"/>
        <v>0.41679314914919163</v>
      </c>
      <c r="F15" s="100">
        <f>178427.29/1000</f>
        <v>178.42729</v>
      </c>
      <c r="G15" s="17">
        <f t="shared" si="1"/>
        <v>0.59331414945056593</v>
      </c>
      <c r="H15" s="16">
        <f t="shared" si="3"/>
        <v>0.35202167993824851</v>
      </c>
      <c r="I15" s="4"/>
    </row>
    <row r="16" spans="2:10" ht="16.5" thickBot="1" x14ac:dyDescent="0.3">
      <c r="B16" s="18" t="s">
        <v>2</v>
      </c>
      <c r="C16" s="53">
        <f t="shared" ref="C16:H16" si="4">SUM(C6:C15)</f>
        <v>28563.919450000009</v>
      </c>
      <c r="D16" s="20">
        <f t="shared" si="4"/>
        <v>100.00000000000001</v>
      </c>
      <c r="E16" s="19">
        <f t="shared" si="4"/>
        <v>1710.0478573390174</v>
      </c>
      <c r="F16" s="53">
        <f t="shared" si="4"/>
        <v>30072.987499999999</v>
      </c>
      <c r="G16" s="20">
        <f t="shared" si="4"/>
        <v>100</v>
      </c>
      <c r="H16" s="30">
        <f t="shared" si="4"/>
        <v>1707.5187634578933</v>
      </c>
      <c r="I16" s="4"/>
    </row>
    <row r="17" spans="2:24" ht="15.75" x14ac:dyDescent="0.25">
      <c r="B17" s="4"/>
      <c r="C17" s="4"/>
      <c r="D17" s="4"/>
      <c r="E17" s="4"/>
      <c r="F17" s="4"/>
      <c r="G17" s="4"/>
      <c r="H17" s="4"/>
      <c r="I17" s="4"/>
    </row>
    <row r="18" spans="2:24" ht="15.75" x14ac:dyDescent="0.25">
      <c r="B18" s="5"/>
      <c r="D18" s="4"/>
      <c r="E18" s="4"/>
      <c r="F18" s="76"/>
      <c r="G18" s="4"/>
      <c r="H18" s="4"/>
      <c r="I18" s="4"/>
    </row>
    <row r="19" spans="2:24" ht="15.75" x14ac:dyDescent="0.25">
      <c r="B19" s="63"/>
      <c r="C19" s="64" t="s">
        <v>30</v>
      </c>
      <c r="D19" s="150" t="s">
        <v>31</v>
      </c>
      <c r="E19" s="150"/>
      <c r="F19" s="59"/>
      <c r="G19" s="59"/>
      <c r="H19" s="4"/>
      <c r="J19" s="108"/>
      <c r="K19" s="4"/>
      <c r="L19" s="31"/>
      <c r="M19" s="4"/>
      <c r="X19" s="4"/>
    </row>
    <row r="20" spans="2:24" ht="15.75" x14ac:dyDescent="0.25">
      <c r="B20" s="55" t="s">
        <v>25</v>
      </c>
      <c r="C20" s="133">
        <f>SUM(D6:D9)/100</f>
        <v>0.76969221393039622</v>
      </c>
      <c r="D20" s="141">
        <f>SUM(G6:G9)/100</f>
        <v>0.76722183986542747</v>
      </c>
      <c r="E20" s="141"/>
      <c r="F20" s="60"/>
      <c r="G20" s="60"/>
      <c r="H20" s="4"/>
      <c r="I20" s="102"/>
      <c r="J20" s="108"/>
      <c r="K20" s="103"/>
      <c r="L20" s="103"/>
      <c r="M20" s="103"/>
      <c r="N20" s="104"/>
      <c r="O20" s="103"/>
      <c r="P20" s="103"/>
      <c r="Q20" s="103"/>
      <c r="R20" s="104"/>
      <c r="S20" s="105"/>
      <c r="T20" s="106"/>
      <c r="U20" s="105"/>
      <c r="X20" s="4"/>
    </row>
    <row r="21" spans="2:24" ht="15.75" x14ac:dyDescent="0.25">
      <c r="B21" s="55" t="s">
        <v>0</v>
      </c>
      <c r="C21" s="66">
        <f>E16</f>
        <v>1710.0478573390174</v>
      </c>
      <c r="D21" s="142">
        <f>H16</f>
        <v>1707.5187634578933</v>
      </c>
      <c r="E21" s="142"/>
      <c r="F21" s="61"/>
      <c r="G21" s="61"/>
      <c r="H21" s="32"/>
      <c r="I21" s="102"/>
      <c r="J21" s="108"/>
      <c r="K21" s="103"/>
      <c r="L21" s="103"/>
      <c r="M21" s="103"/>
      <c r="N21" s="104"/>
      <c r="O21" s="103"/>
      <c r="P21" s="103"/>
      <c r="Q21" s="103"/>
      <c r="R21" s="104"/>
      <c r="S21" s="105"/>
      <c r="T21" s="106"/>
      <c r="U21" s="105"/>
      <c r="X21" s="4"/>
    </row>
    <row r="22" spans="2:24" ht="13.5" x14ac:dyDescent="0.25">
      <c r="I22" s="102"/>
      <c r="J22" s="107"/>
      <c r="K22" s="103"/>
      <c r="L22" s="103"/>
      <c r="M22" s="103"/>
      <c r="N22" s="104"/>
      <c r="O22" s="103"/>
      <c r="P22" s="103"/>
      <c r="Q22" s="103"/>
      <c r="R22" s="104"/>
      <c r="S22" s="105"/>
      <c r="T22" s="106"/>
      <c r="U22" s="105"/>
    </row>
    <row r="23" spans="2:24" ht="13.5" x14ac:dyDescent="0.25">
      <c r="I23" s="102"/>
      <c r="J23" s="107"/>
      <c r="K23" s="103"/>
      <c r="L23" s="103"/>
      <c r="M23" s="103"/>
      <c r="N23" s="104"/>
      <c r="O23" s="103"/>
      <c r="P23" s="103"/>
      <c r="Q23" s="103"/>
      <c r="R23" s="104"/>
      <c r="S23" s="105"/>
      <c r="T23" s="106"/>
      <c r="U23" s="105"/>
      <c r="X23" s="37"/>
    </row>
    <row r="24" spans="2:24" ht="13.5" x14ac:dyDescent="0.25">
      <c r="I24" s="102"/>
      <c r="J24" s="107"/>
      <c r="K24" s="103"/>
      <c r="L24" s="103"/>
      <c r="M24" s="103"/>
      <c r="N24" s="104"/>
      <c r="O24" s="103"/>
      <c r="P24" s="103"/>
      <c r="Q24" s="103"/>
      <c r="R24" s="104"/>
      <c r="S24" s="105"/>
      <c r="T24" s="106"/>
      <c r="U24" s="105"/>
    </row>
    <row r="25" spans="2:24" ht="13.5" x14ac:dyDescent="0.25">
      <c r="F25" s="9"/>
      <c r="I25" s="102"/>
      <c r="J25" s="107"/>
      <c r="K25" s="103"/>
      <c r="L25" s="103"/>
      <c r="M25" s="103"/>
      <c r="N25" s="104"/>
      <c r="O25" s="103"/>
      <c r="P25" s="103"/>
      <c r="Q25" s="103"/>
      <c r="R25" s="104"/>
      <c r="S25" s="105"/>
      <c r="T25" s="106"/>
      <c r="U25" s="105"/>
    </row>
    <row r="26" spans="2:24" ht="13.5" x14ac:dyDescent="0.25">
      <c r="F26" s="9"/>
      <c r="I26" s="102"/>
      <c r="J26" s="107"/>
      <c r="K26" s="103"/>
      <c r="L26" s="103"/>
      <c r="M26" s="103"/>
      <c r="N26" s="104"/>
      <c r="O26" s="103"/>
      <c r="P26" s="103"/>
      <c r="Q26" s="103"/>
      <c r="R26" s="104"/>
      <c r="S26" s="105"/>
      <c r="T26" s="106"/>
      <c r="U26" s="105"/>
    </row>
    <row r="27" spans="2:24" ht="13.5" x14ac:dyDescent="0.25">
      <c r="F27" s="9"/>
      <c r="I27" s="102"/>
      <c r="J27" s="107"/>
      <c r="K27" s="103"/>
      <c r="L27" s="103"/>
      <c r="M27" s="103"/>
      <c r="N27" s="104"/>
      <c r="O27" s="103"/>
      <c r="P27" s="103"/>
      <c r="Q27" s="103"/>
      <c r="R27" s="104"/>
      <c r="S27" s="105"/>
      <c r="T27" s="106"/>
      <c r="U27" s="105"/>
    </row>
    <row r="28" spans="2:24" ht="13.5" x14ac:dyDescent="0.25">
      <c r="F28" s="9"/>
      <c r="I28" s="102"/>
      <c r="J28" s="107"/>
      <c r="K28" s="103"/>
      <c r="L28" s="103"/>
      <c r="M28" s="103"/>
      <c r="N28" s="104"/>
      <c r="O28" s="103"/>
      <c r="P28" s="103"/>
      <c r="Q28" s="103"/>
      <c r="R28" s="104"/>
      <c r="S28" s="105"/>
      <c r="T28" s="106"/>
      <c r="U28" s="105"/>
    </row>
    <row r="29" spans="2:24" ht="13.5" x14ac:dyDescent="0.25">
      <c r="F29" s="9"/>
      <c r="I29" s="102"/>
      <c r="J29" s="107"/>
      <c r="K29" s="103"/>
      <c r="L29" s="103"/>
      <c r="M29" s="103"/>
      <c r="N29" s="104"/>
      <c r="O29" s="103"/>
      <c r="P29" s="103"/>
      <c r="Q29" s="103"/>
      <c r="R29" s="104"/>
      <c r="S29" s="105"/>
      <c r="T29" s="106"/>
      <c r="U29" s="105"/>
    </row>
    <row r="30" spans="2:24" ht="13.5" x14ac:dyDescent="0.25">
      <c r="F30" s="9"/>
      <c r="I30" s="102"/>
      <c r="J30" s="107"/>
      <c r="K30" s="103"/>
      <c r="L30" s="103"/>
      <c r="M30" s="103"/>
      <c r="N30" s="104"/>
      <c r="O30" s="103"/>
      <c r="P30" s="103"/>
      <c r="Q30" s="103"/>
      <c r="R30" s="104"/>
      <c r="S30" s="105"/>
      <c r="T30" s="106"/>
      <c r="U30" s="105"/>
    </row>
    <row r="31" spans="2:24" ht="13.5" x14ac:dyDescent="0.25">
      <c r="F31" s="10"/>
      <c r="I31" s="102"/>
      <c r="J31" s="107"/>
      <c r="K31" s="103"/>
      <c r="L31" s="103"/>
      <c r="M31" s="103"/>
      <c r="N31" s="104"/>
      <c r="O31" s="103"/>
      <c r="P31" s="103"/>
      <c r="Q31" s="103"/>
      <c r="R31" s="104"/>
      <c r="S31" s="105"/>
      <c r="T31" s="106"/>
      <c r="U31" s="105"/>
    </row>
    <row r="32" spans="2:24" x14ac:dyDescent="0.2">
      <c r="I32" s="37"/>
    </row>
    <row r="33" spans="9:11" x14ac:dyDescent="0.2">
      <c r="I33" s="37"/>
    </row>
    <row r="36" spans="9:11" x14ac:dyDescent="0.2">
      <c r="I36" s="3"/>
    </row>
    <row r="37" spans="9:11" x14ac:dyDescent="0.2">
      <c r="I37" s="3"/>
    </row>
    <row r="38" spans="9:11" x14ac:dyDescent="0.2">
      <c r="I38" s="58"/>
    </row>
    <row r="47" spans="9:11" x14ac:dyDescent="0.2">
      <c r="K47" s="89"/>
    </row>
  </sheetData>
  <mergeCells count="7">
    <mergeCell ref="D20:E20"/>
    <mergeCell ref="D21:E21"/>
    <mergeCell ref="B2:H2"/>
    <mergeCell ref="F4:H4"/>
    <mergeCell ref="B4:B5"/>
    <mergeCell ref="C4:E4"/>
    <mergeCell ref="D19:E19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0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29.42578125" style="4" customWidth="1"/>
    <col min="3" max="3" width="16.7109375" style="4" customWidth="1"/>
    <col min="4" max="4" width="7.85546875" style="4" customWidth="1"/>
    <col min="5" max="5" width="7.5703125" style="4" customWidth="1"/>
    <col min="6" max="6" width="16.7109375" style="4" customWidth="1"/>
    <col min="7" max="7" width="7.85546875" style="4" customWidth="1"/>
    <col min="8" max="8" width="7.5703125" style="4" customWidth="1"/>
    <col min="9" max="9" width="8.42578125" style="4" bestFit="1" customWidth="1"/>
    <col min="10" max="10" width="9" style="4" bestFit="1" customWidth="1"/>
    <col min="11" max="11" width="4.5703125" style="4" bestFit="1" customWidth="1"/>
    <col min="12" max="12" width="13.85546875" style="4" bestFit="1" customWidth="1"/>
    <col min="13" max="13" width="14" style="4" bestFit="1" customWidth="1"/>
    <col min="14" max="15" width="15.5703125" style="4" bestFit="1" customWidth="1"/>
    <col min="16" max="16" width="12.7109375" style="4" bestFit="1" customWidth="1"/>
    <col min="17" max="17" width="11.7109375" style="4" bestFit="1" customWidth="1"/>
    <col min="18" max="19" width="10.5703125" style="4" bestFit="1" customWidth="1"/>
    <col min="20" max="20" width="11.7109375" style="4" bestFit="1" customWidth="1"/>
    <col min="21" max="21" width="13.140625" style="4" bestFit="1" customWidth="1"/>
    <col min="22" max="22" width="11.7109375" style="4" bestFit="1" customWidth="1"/>
    <col min="23" max="23" width="13" style="4" bestFit="1" customWidth="1"/>
    <col min="24" max="24" width="13.85546875" style="4" bestFit="1" customWidth="1"/>
    <col min="25" max="25" width="14.28515625" style="4" bestFit="1" customWidth="1"/>
    <col min="26" max="26" width="15.42578125" style="4" bestFit="1" customWidth="1"/>
    <col min="27" max="16384" width="10.42578125" style="4"/>
  </cols>
  <sheetData>
    <row r="1" spans="2:20" ht="15.75" customHeight="1" x14ac:dyDescent="0.25"/>
    <row r="2" spans="2:20" x14ac:dyDescent="0.25">
      <c r="B2" s="152" t="s">
        <v>34</v>
      </c>
      <c r="C2" s="153"/>
      <c r="D2" s="153"/>
      <c r="E2" s="153"/>
      <c r="F2" s="153"/>
      <c r="G2" s="153"/>
      <c r="H2" s="154"/>
    </row>
    <row r="3" spans="2:20" ht="16.5" thickBot="1" x14ac:dyDescent="0.3">
      <c r="B3" s="54"/>
    </row>
    <row r="4" spans="2:20" x14ac:dyDescent="0.25">
      <c r="B4" s="148" t="s">
        <v>42</v>
      </c>
      <c r="C4" s="146" t="s">
        <v>30</v>
      </c>
      <c r="D4" s="146"/>
      <c r="E4" s="146"/>
      <c r="F4" s="146" t="s">
        <v>31</v>
      </c>
      <c r="G4" s="146"/>
      <c r="H4" s="147"/>
    </row>
    <row r="5" spans="2:20" ht="42" customHeight="1" x14ac:dyDescent="0.25">
      <c r="B5" s="149"/>
      <c r="C5" s="12" t="s">
        <v>43</v>
      </c>
      <c r="D5" s="12" t="s">
        <v>1</v>
      </c>
      <c r="E5" s="13" t="s">
        <v>0</v>
      </c>
      <c r="F5" s="12" t="s">
        <v>43</v>
      </c>
      <c r="G5" s="12" t="s">
        <v>1</v>
      </c>
      <c r="H5" s="14" t="s">
        <v>0</v>
      </c>
    </row>
    <row r="6" spans="2:20" x14ac:dyDescent="0.25">
      <c r="B6" s="40" t="s">
        <v>27</v>
      </c>
      <c r="C6" s="94">
        <f>15634208.85/1000</f>
        <v>15634.208849999999</v>
      </c>
      <c r="D6" s="56">
        <f t="shared" ref="D6:D27" si="0">C6/C$31*100</f>
        <v>14.44974854656863</v>
      </c>
      <c r="E6" s="78">
        <f>D6^2</f>
        <v>208.79523305906224</v>
      </c>
      <c r="F6" s="124">
        <f>12747330.04/1000</f>
        <v>12747.330039999999</v>
      </c>
      <c r="G6" s="15">
        <f t="shared" ref="G6:G30" si="1">F6/F$31*100</f>
        <v>10.958963212177199</v>
      </c>
      <c r="H6" s="21">
        <f>G6^2</f>
        <v>120.09887468585319</v>
      </c>
      <c r="J6" s="32" t="s">
        <v>40</v>
      </c>
    </row>
    <row r="7" spans="2:20" x14ac:dyDescent="0.25">
      <c r="B7" s="40" t="s">
        <v>10</v>
      </c>
      <c r="C7" s="94">
        <f>11640688.28/1000</f>
        <v>11640.688279999998</v>
      </c>
      <c r="D7" s="56">
        <f t="shared" si="0"/>
        <v>10.758780323891379</v>
      </c>
      <c r="E7" s="78">
        <f t="shared" ref="E7:E29" si="2">D7^2</f>
        <v>115.75135405775229</v>
      </c>
      <c r="F7" s="124">
        <f>12448427.61/1000</f>
        <v>12448.427609999999</v>
      </c>
      <c r="G7" s="15">
        <f t="shared" si="1"/>
        <v>10.701994833377745</v>
      </c>
      <c r="H7" s="21">
        <f t="shared" ref="H7:H29" si="3">G7^2</f>
        <v>114.53269341364394</v>
      </c>
    </row>
    <row r="8" spans="2:20" x14ac:dyDescent="0.25">
      <c r="B8" s="40" t="s">
        <v>26</v>
      </c>
      <c r="C8" s="94">
        <f>9292152.49/1000</f>
        <v>9292.1524900000004</v>
      </c>
      <c r="D8" s="56">
        <f t="shared" si="0"/>
        <v>8.5881715042377476</v>
      </c>
      <c r="E8" s="78">
        <f t="shared" si="2"/>
        <v>73.75668978620125</v>
      </c>
      <c r="F8" s="124">
        <f>10524399.21/1000</f>
        <v>10524.399210000001</v>
      </c>
      <c r="G8" s="15">
        <f t="shared" si="1"/>
        <v>9.0478950031685859</v>
      </c>
      <c r="H8" s="21">
        <f t="shared" si="3"/>
        <v>81.864403988363065</v>
      </c>
      <c r="J8" s="32" t="s">
        <v>41</v>
      </c>
    </row>
    <row r="9" spans="2:20" x14ac:dyDescent="0.25">
      <c r="B9" s="40" t="s">
        <v>7</v>
      </c>
      <c r="C9" s="94">
        <f>6359845.72/1000</f>
        <v>6359.8457199999993</v>
      </c>
      <c r="D9" s="96">
        <f t="shared" si="0"/>
        <v>5.8780186660337934</v>
      </c>
      <c r="E9" s="78">
        <f>D9^2</f>
        <v>34.551103438241697</v>
      </c>
      <c r="F9" s="124">
        <f>8115007/1000</f>
        <v>8115.0069999999996</v>
      </c>
      <c r="G9" s="15">
        <f t="shared" si="1"/>
        <v>6.9765247232557313</v>
      </c>
      <c r="H9" s="21">
        <f t="shared" ref="H9:H14" si="4">G9^2</f>
        <v>48.671897214198459</v>
      </c>
    </row>
    <row r="10" spans="2:20" x14ac:dyDescent="0.25">
      <c r="B10" s="48" t="s">
        <v>28</v>
      </c>
      <c r="C10" s="95">
        <f>8720685.35/1000</f>
        <v>8720.6853499999997</v>
      </c>
      <c r="D10" s="56">
        <f t="shared" si="0"/>
        <v>8.0599991768208259</v>
      </c>
      <c r="E10" s="78">
        <f t="shared" si="2"/>
        <v>64.96358673035239</v>
      </c>
      <c r="F10" s="125">
        <f>8029304.98/1000</f>
        <v>8029.3049800000008</v>
      </c>
      <c r="G10" s="17">
        <f t="shared" si="1"/>
        <v>6.9028461347637</v>
      </c>
      <c r="H10" s="21">
        <f t="shared" si="4"/>
        <v>47.649284760222152</v>
      </c>
      <c r="J10" s="32" t="s">
        <v>44</v>
      </c>
    </row>
    <row r="11" spans="2:20" x14ac:dyDescent="0.25">
      <c r="B11" s="40" t="s">
        <v>8</v>
      </c>
      <c r="C11" s="94">
        <f>7467656.48/1000</f>
        <v>7467.6564800000006</v>
      </c>
      <c r="D11" s="79">
        <f t="shared" si="0"/>
        <v>6.9019007871417708</v>
      </c>
      <c r="E11" s="78">
        <f t="shared" si="2"/>
        <v>47.636234475548193</v>
      </c>
      <c r="F11" s="124">
        <f>7802850.64/1000</f>
        <v>7802.8506399999997</v>
      </c>
      <c r="G11" s="17">
        <f t="shared" si="1"/>
        <v>6.7081618539370087</v>
      </c>
      <c r="H11" s="21">
        <f t="shared" si="4"/>
        <v>44.999435458615608</v>
      </c>
      <c r="J11" s="2" t="s">
        <v>45</v>
      </c>
      <c r="L11" s="127"/>
    </row>
    <row r="12" spans="2:20" x14ac:dyDescent="0.25">
      <c r="B12" s="41" t="s">
        <v>4</v>
      </c>
      <c r="C12" s="95">
        <f>5760677.42/1000</f>
        <v>5760.67742</v>
      </c>
      <c r="D12" s="79">
        <f t="shared" si="0"/>
        <v>5.3242438408960959</v>
      </c>
      <c r="E12" s="78">
        <f>D12^2</f>
        <v>28.347572477320011</v>
      </c>
      <c r="F12" s="124">
        <f>6505644/1000</f>
        <v>6505.6440000000002</v>
      </c>
      <c r="G12" s="17">
        <f t="shared" si="1"/>
        <v>5.5929448005035987</v>
      </c>
      <c r="H12" s="21">
        <f t="shared" si="4"/>
        <v>31.281031541480239</v>
      </c>
      <c r="K12" s="118"/>
      <c r="L12" s="128"/>
      <c r="M12" s="119"/>
      <c r="N12" s="119"/>
      <c r="O12" s="119"/>
      <c r="P12" s="120"/>
      <c r="Q12" s="119"/>
      <c r="R12" s="119"/>
      <c r="S12" s="119"/>
      <c r="T12" s="120"/>
    </row>
    <row r="13" spans="2:20" x14ac:dyDescent="0.25">
      <c r="B13" s="40" t="s">
        <v>13</v>
      </c>
      <c r="C13" s="95">
        <f>5056743.15/1000</f>
        <v>5056.7431500000002</v>
      </c>
      <c r="D13" s="79">
        <f t="shared" si="0"/>
        <v>4.6736402003535593</v>
      </c>
      <c r="E13" s="78">
        <f t="shared" si="2"/>
        <v>21.842912722360857</v>
      </c>
      <c r="F13" s="125">
        <f>6074905.21/1000</f>
        <v>6074.9052099999999</v>
      </c>
      <c r="G13" s="17">
        <f t="shared" si="1"/>
        <v>5.2226358386382223</v>
      </c>
      <c r="H13" s="21">
        <f t="shared" si="4"/>
        <v>27.275925103028367</v>
      </c>
      <c r="L13" s="127"/>
    </row>
    <row r="14" spans="2:20" x14ac:dyDescent="0.25">
      <c r="B14" s="40" t="s">
        <v>11</v>
      </c>
      <c r="C14" s="95">
        <f>5161902.99/1000</f>
        <v>5161.9029900000005</v>
      </c>
      <c r="D14" s="79">
        <f t="shared" si="0"/>
        <v>4.7708330458487369</v>
      </c>
      <c r="E14" s="78">
        <f>D14^2</f>
        <v>22.760847951362337</v>
      </c>
      <c r="F14" s="124">
        <f>5532850.15/1000</f>
        <v>5532.8501500000002</v>
      </c>
      <c r="G14" s="17">
        <f t="shared" si="1"/>
        <v>4.7566275496181554</v>
      </c>
      <c r="H14" s="21">
        <f t="shared" si="4"/>
        <v>22.625505645786419</v>
      </c>
      <c r="J14" s="32"/>
    </row>
    <row r="15" spans="2:20" x14ac:dyDescent="0.25">
      <c r="B15" s="40" t="s">
        <v>9</v>
      </c>
      <c r="C15" s="95">
        <f>3374389.55/1000</f>
        <v>3374.3895499999999</v>
      </c>
      <c r="D15" s="79">
        <f t="shared" si="0"/>
        <v>3.1187430693475018</v>
      </c>
      <c r="E15" s="78">
        <f t="shared" si="2"/>
        <v>9.7265583326030765</v>
      </c>
      <c r="F15" s="125">
        <f>4643807.36/1000</f>
        <v>4643.8073600000007</v>
      </c>
      <c r="G15" s="17">
        <f t="shared" si="1"/>
        <v>3.9923116341214406</v>
      </c>
      <c r="H15" s="21">
        <f t="shared" si="3"/>
        <v>15.938552183941407</v>
      </c>
      <c r="J15" s="117"/>
      <c r="K15" s="118"/>
      <c r="L15" s="121"/>
      <c r="M15" s="119"/>
      <c r="N15" s="119"/>
      <c r="O15" s="119"/>
      <c r="P15" s="120"/>
      <c r="Q15" s="119"/>
      <c r="R15" s="119"/>
      <c r="S15" s="119"/>
      <c r="T15" s="120"/>
    </row>
    <row r="16" spans="2:20" x14ac:dyDescent="0.25">
      <c r="B16" s="40" t="s">
        <v>17</v>
      </c>
      <c r="C16" s="95">
        <f>3610534.10999991/1000</f>
        <v>3610.53410999991</v>
      </c>
      <c r="D16" s="79">
        <f t="shared" si="0"/>
        <v>3.3369971265484062</v>
      </c>
      <c r="E16" s="78">
        <f t="shared" si="2"/>
        <v>11.135549822592319</v>
      </c>
      <c r="F16" s="124">
        <f>4563586.46/1000</f>
        <v>4563.5864599999995</v>
      </c>
      <c r="G16" s="17">
        <f t="shared" si="1"/>
        <v>3.9233452004299072</v>
      </c>
      <c r="H16" s="21">
        <f>G16^2</f>
        <v>15.39263756173639</v>
      </c>
      <c r="J16" s="117"/>
      <c r="K16" s="118"/>
      <c r="L16" s="121"/>
      <c r="M16" s="119"/>
      <c r="N16" s="119"/>
      <c r="O16" s="119"/>
      <c r="P16" s="120"/>
      <c r="Q16" s="119"/>
      <c r="R16" s="119"/>
      <c r="S16" s="119"/>
      <c r="T16" s="120"/>
    </row>
    <row r="17" spans="2:20" x14ac:dyDescent="0.25">
      <c r="B17" s="40" t="s">
        <v>14</v>
      </c>
      <c r="C17" s="95">
        <f>3798482.84/1000</f>
        <v>3798.4828399999997</v>
      </c>
      <c r="D17" s="79">
        <f t="shared" si="0"/>
        <v>3.510706708798756</v>
      </c>
      <c r="E17" s="78">
        <f>D17^2</f>
        <v>12.325061595204593</v>
      </c>
      <c r="F17" s="124">
        <f>4398692.95/1000</f>
        <v>4398.6929500000006</v>
      </c>
      <c r="G17" s="17">
        <f t="shared" si="1"/>
        <v>3.7815851687725823</v>
      </c>
      <c r="H17" s="21">
        <f>G17^2</f>
        <v>14.30038638868076</v>
      </c>
      <c r="J17" s="117"/>
      <c r="K17" s="118"/>
      <c r="L17" s="121"/>
      <c r="M17" s="119"/>
      <c r="N17" s="119"/>
      <c r="O17" s="119"/>
      <c r="P17" s="120"/>
      <c r="Q17" s="119"/>
      <c r="R17" s="119"/>
      <c r="S17" s="119"/>
      <c r="T17" s="120"/>
    </row>
    <row r="18" spans="2:20" x14ac:dyDescent="0.25">
      <c r="B18" s="40" t="s">
        <v>15</v>
      </c>
      <c r="C18" s="95">
        <f>3222374.62/1000</f>
        <v>3222.37462</v>
      </c>
      <c r="D18" s="79">
        <f t="shared" si="0"/>
        <v>2.9782449133551552</v>
      </c>
      <c r="E18" s="78">
        <f t="shared" si="2"/>
        <v>8.8699427639258559</v>
      </c>
      <c r="F18" s="125">
        <f>3399859.75/1000</f>
        <v>3399.8597500000001</v>
      </c>
      <c r="G18" s="17">
        <f t="shared" si="1"/>
        <v>2.9228817179673472</v>
      </c>
      <c r="H18" s="21">
        <f>G18^2</f>
        <v>8.5432375372277516</v>
      </c>
      <c r="J18" s="117"/>
      <c r="K18" s="118"/>
      <c r="L18" s="121"/>
      <c r="M18" s="119"/>
      <c r="N18" s="119"/>
      <c r="O18" s="119"/>
      <c r="P18" s="120"/>
      <c r="Q18" s="119"/>
      <c r="R18" s="119"/>
      <c r="S18" s="119"/>
      <c r="T18" s="120"/>
    </row>
    <row r="19" spans="2:20" x14ac:dyDescent="0.25">
      <c r="B19" s="40" t="s">
        <v>22</v>
      </c>
      <c r="C19" s="95">
        <f>3237549.28/1000</f>
        <v>3237.5492799999997</v>
      </c>
      <c r="D19" s="79">
        <f t="shared" si="0"/>
        <v>2.9922699288441654</v>
      </c>
      <c r="E19" s="78">
        <f t="shared" si="2"/>
        <v>8.9536793270650676</v>
      </c>
      <c r="F19" s="125">
        <f>3356978.33/1000</f>
        <v>3356.9783299999999</v>
      </c>
      <c r="G19" s="17">
        <f t="shared" si="1"/>
        <v>2.8860162800449505</v>
      </c>
      <c r="H19" s="21">
        <f t="shared" si="3"/>
        <v>8.3290899686844941</v>
      </c>
      <c r="J19" s="117"/>
      <c r="K19" s="118"/>
      <c r="L19" s="121"/>
      <c r="M19" s="119"/>
      <c r="N19" s="119"/>
      <c r="O19" s="119"/>
      <c r="P19" s="120"/>
      <c r="Q19" s="119"/>
      <c r="R19" s="119"/>
      <c r="S19" s="119"/>
      <c r="T19" s="120"/>
    </row>
    <row r="20" spans="2:20" x14ac:dyDescent="0.25">
      <c r="B20" s="40" t="s">
        <v>18</v>
      </c>
      <c r="C20" s="95">
        <f>2736321.54/1000</f>
        <v>2736.3215399999999</v>
      </c>
      <c r="D20" s="79">
        <f t="shared" si="0"/>
        <v>2.5290156076915551</v>
      </c>
      <c r="E20" s="78">
        <f t="shared" si="2"/>
        <v>6.3959199439474856</v>
      </c>
      <c r="F20" s="124">
        <f>3015612.18/1000</f>
        <v>3015.6121800000001</v>
      </c>
      <c r="G20" s="17">
        <f t="shared" si="1"/>
        <v>2.5925415627517157</v>
      </c>
      <c r="H20" s="21">
        <f>G20^2</f>
        <v>6.721271754595108</v>
      </c>
      <c r="J20" s="117"/>
      <c r="K20" s="118"/>
      <c r="L20" s="121"/>
      <c r="M20" s="119"/>
      <c r="N20" s="119"/>
      <c r="O20" s="119"/>
      <c r="P20" s="120"/>
      <c r="Q20" s="119"/>
      <c r="R20" s="119"/>
      <c r="S20" s="119"/>
      <c r="T20" s="120"/>
    </row>
    <row r="21" spans="2:20" x14ac:dyDescent="0.25">
      <c r="B21" s="40" t="s">
        <v>20</v>
      </c>
      <c r="C21" s="95">
        <f>1876616.1/1000</f>
        <v>1876.6161000000002</v>
      </c>
      <c r="D21" s="79">
        <f t="shared" si="0"/>
        <v>1.7344421469361591</v>
      </c>
      <c r="E21" s="78">
        <f>D21^2</f>
        <v>3.008289561068513</v>
      </c>
      <c r="F21" s="125">
        <f>2661223.41/1000</f>
        <v>2661.2234100000001</v>
      </c>
      <c r="G21" s="17">
        <f t="shared" si="1"/>
        <v>2.2878712136627759</v>
      </c>
      <c r="H21" s="21">
        <f>G21^2</f>
        <v>5.234354690306783</v>
      </c>
      <c r="J21" s="117"/>
      <c r="K21" s="118"/>
      <c r="L21" s="121"/>
      <c r="M21" s="119"/>
      <c r="N21" s="119"/>
      <c r="O21" s="119"/>
      <c r="P21" s="120"/>
      <c r="Q21" s="119"/>
      <c r="R21" s="119"/>
      <c r="S21" s="119"/>
      <c r="T21" s="120"/>
    </row>
    <row r="22" spans="2:20" x14ac:dyDescent="0.25">
      <c r="B22" s="40" t="s">
        <v>16</v>
      </c>
      <c r="C22" s="95">
        <f>2578253.11/1000</f>
        <v>2578.2531099999997</v>
      </c>
      <c r="D22" s="79">
        <f t="shared" si="0"/>
        <v>2.3829225697537328</v>
      </c>
      <c r="E22" s="78">
        <f>D22^2</f>
        <v>5.6783199734417336</v>
      </c>
      <c r="F22" s="125">
        <f>2474505.52/1000</f>
        <v>2474.5055200000002</v>
      </c>
      <c r="G22" s="17">
        <f t="shared" si="1"/>
        <v>2.1273486194297528</v>
      </c>
      <c r="H22" s="21">
        <f>G22^2</f>
        <v>4.5256121485896754</v>
      </c>
      <c r="J22" s="117"/>
      <c r="K22" s="118"/>
      <c r="L22" s="121"/>
      <c r="M22" s="119"/>
      <c r="N22" s="119"/>
      <c r="O22" s="119"/>
      <c r="P22" s="120"/>
      <c r="Q22" s="119"/>
      <c r="R22" s="119"/>
      <c r="S22" s="119"/>
      <c r="T22" s="120"/>
    </row>
    <row r="23" spans="2:20" x14ac:dyDescent="0.25">
      <c r="B23" s="40" t="s">
        <v>19</v>
      </c>
      <c r="C23" s="95">
        <f>2265557.76/1000</f>
        <v>2265.5577599999997</v>
      </c>
      <c r="D23" s="79">
        <f t="shared" si="0"/>
        <v>2.0939172722978738</v>
      </c>
      <c r="E23" s="78">
        <f t="shared" si="2"/>
        <v>4.3844895432273683</v>
      </c>
      <c r="F23" s="125">
        <f>2015853.29/1000</f>
        <v>2015.85329</v>
      </c>
      <c r="G23" s="17">
        <f t="shared" si="1"/>
        <v>1.7330422901842728</v>
      </c>
      <c r="H23" s="21">
        <f t="shared" si="3"/>
        <v>3.003435579567149</v>
      </c>
      <c r="J23" s="117"/>
      <c r="K23" s="118"/>
      <c r="L23" s="121"/>
      <c r="M23" s="119"/>
      <c r="N23" s="119"/>
      <c r="O23" s="119"/>
      <c r="P23" s="120"/>
      <c r="Q23" s="119"/>
      <c r="R23" s="119"/>
      <c r="S23" s="119"/>
      <c r="T23" s="120"/>
    </row>
    <row r="24" spans="2:20" x14ac:dyDescent="0.25">
      <c r="B24" s="40" t="s">
        <v>21</v>
      </c>
      <c r="C24" s="95">
        <f>1576262.83/1000</f>
        <v>1576.2628300000001</v>
      </c>
      <c r="D24" s="79">
        <f t="shared" si="0"/>
        <v>1.4568438835203779</v>
      </c>
      <c r="E24" s="78">
        <f>D24^2</f>
        <v>2.1223941009507361</v>
      </c>
      <c r="F24" s="125">
        <f>1933494.955/1000</f>
        <v>1933.4949550000001</v>
      </c>
      <c r="G24" s="17">
        <f t="shared" si="1"/>
        <v>1.6622382896093284</v>
      </c>
      <c r="H24" s="21">
        <f>G24^2</f>
        <v>2.7630361314433456</v>
      </c>
      <c r="J24" s="97"/>
      <c r="K24" s="7"/>
      <c r="L24" s="88"/>
      <c r="M24" s="98"/>
      <c r="N24" s="98"/>
      <c r="O24" s="98"/>
      <c r="P24" s="99"/>
      <c r="Q24" s="98"/>
      <c r="R24" s="98"/>
      <c r="S24" s="98"/>
      <c r="T24" s="99"/>
    </row>
    <row r="25" spans="2:20" x14ac:dyDescent="0.25">
      <c r="B25" s="40" t="s">
        <v>5</v>
      </c>
      <c r="C25" s="95">
        <f>1634582.15/1000</f>
        <v>1634.58215</v>
      </c>
      <c r="D25" s="79">
        <f t="shared" si="0"/>
        <v>1.5107448846834057</v>
      </c>
      <c r="E25" s="78">
        <f t="shared" si="2"/>
        <v>2.282350106597077</v>
      </c>
      <c r="F25" s="124">
        <f>1892044.14000001/1000</f>
        <v>1892.04414000001</v>
      </c>
      <c r="G25" s="17">
        <f t="shared" si="1"/>
        <v>1.6266027521850808</v>
      </c>
      <c r="H25" s="21">
        <f t="shared" si="3"/>
        <v>2.6458365134160791</v>
      </c>
      <c r="J25" s="117"/>
      <c r="K25" s="118"/>
      <c r="L25" s="121"/>
      <c r="M25" s="119"/>
      <c r="N25" s="119"/>
      <c r="O25" s="119"/>
      <c r="P25" s="120"/>
      <c r="Q25" s="119"/>
      <c r="R25" s="119"/>
      <c r="S25" s="119"/>
      <c r="T25" s="120"/>
    </row>
    <row r="26" spans="2:20" x14ac:dyDescent="0.25">
      <c r="B26" s="40" t="s">
        <v>29</v>
      </c>
      <c r="C26" s="95">
        <f>1108658.62/1000</f>
        <v>1108.6586200000002</v>
      </c>
      <c r="D26" s="79">
        <f t="shared" si="0"/>
        <v>1.0246657465488436</v>
      </c>
      <c r="E26" s="78">
        <f>D26^2</f>
        <v>1.049939892150499</v>
      </c>
      <c r="F26" s="125">
        <f>1742085.88/1000</f>
        <v>1742.0858799999999</v>
      </c>
      <c r="G26" s="17">
        <f t="shared" si="1"/>
        <v>1.497682652874448</v>
      </c>
      <c r="H26" s="21">
        <f>G26^2</f>
        <v>2.2430533287210443</v>
      </c>
      <c r="J26" s="97"/>
      <c r="K26" s="7"/>
      <c r="L26" s="88"/>
      <c r="M26" s="98"/>
      <c r="N26" s="98"/>
      <c r="O26" s="98"/>
      <c r="P26" s="99"/>
      <c r="Q26" s="98"/>
      <c r="R26" s="98"/>
      <c r="S26" s="98"/>
      <c r="T26" s="99"/>
    </row>
    <row r="27" spans="2:20" x14ac:dyDescent="0.25">
      <c r="B27" s="40" t="s">
        <v>12</v>
      </c>
      <c r="C27" s="95">
        <f>1905897.34/1000</f>
        <v>1905.89734</v>
      </c>
      <c r="D27" s="79">
        <f t="shared" si="0"/>
        <v>1.7615050165185699</v>
      </c>
      <c r="E27" s="78">
        <f>D27^2</f>
        <v>3.1028999232200873</v>
      </c>
      <c r="F27" s="125">
        <f>1739384.46/1000</f>
        <v>1739.38446</v>
      </c>
      <c r="G27" s="17">
        <f t="shared" si="1"/>
        <v>1.4953602243888167</v>
      </c>
      <c r="H27" s="21">
        <f>G27^2</f>
        <v>2.2361022006841722</v>
      </c>
      <c r="J27" s="117"/>
      <c r="K27" s="118"/>
      <c r="L27" s="121"/>
      <c r="M27" s="119"/>
      <c r="N27" s="119"/>
      <c r="O27" s="119"/>
      <c r="P27" s="120"/>
      <c r="Q27" s="119"/>
      <c r="R27" s="119"/>
      <c r="S27" s="119"/>
      <c r="T27" s="120"/>
    </row>
    <row r="28" spans="2:20" x14ac:dyDescent="0.25">
      <c r="B28" s="109" t="s">
        <v>37</v>
      </c>
      <c r="C28" s="110" t="s">
        <v>36</v>
      </c>
      <c r="D28" s="111" t="s">
        <v>36</v>
      </c>
      <c r="E28" s="112" t="s">
        <v>36</v>
      </c>
      <c r="F28" s="126">
        <f>526418.7/1000</f>
        <v>526.41869999999994</v>
      </c>
      <c r="G28" s="17">
        <f t="shared" si="1"/>
        <v>0.45256560780959787</v>
      </c>
      <c r="H28" s="21">
        <f>G28^2</f>
        <v>0.20481562937207076</v>
      </c>
    </row>
    <row r="29" spans="2:20" x14ac:dyDescent="0.25">
      <c r="B29" s="40" t="s">
        <v>3</v>
      </c>
      <c r="C29" s="95">
        <f>171505.4/1000</f>
        <v>171.50539999999998</v>
      </c>
      <c r="D29" s="79">
        <f>C29/C$31*100</f>
        <v>0.15851201222623246</v>
      </c>
      <c r="E29" s="78">
        <f t="shared" si="2"/>
        <v>2.5126058020009268E-2</v>
      </c>
      <c r="F29" s="124">
        <f>172861.85/1000</f>
        <v>172.86185</v>
      </c>
      <c r="G29" s="17">
        <f t="shared" si="1"/>
        <v>0.14861046579907122</v>
      </c>
      <c r="H29" s="21">
        <f t="shared" si="3"/>
        <v>2.2085070545016919E-2</v>
      </c>
    </row>
    <row r="30" spans="2:20" x14ac:dyDescent="0.25">
      <c r="B30" s="40" t="s">
        <v>6</v>
      </c>
      <c r="C30" s="95">
        <f>5553.78/1000</f>
        <v>5.5537799999999997</v>
      </c>
      <c r="D30" s="79">
        <f>C30/C$31*100</f>
        <v>5.1330211367210899E-3</v>
      </c>
      <c r="E30" s="78">
        <f>D30^2</f>
        <v>2.6347905990025471E-5</v>
      </c>
      <c r="F30" s="125">
        <f>1631.22/1000</f>
        <v>1.6312200000000001</v>
      </c>
      <c r="G30" s="17">
        <f t="shared" si="1"/>
        <v>1.4023705289557006E-3</v>
      </c>
      <c r="H30" s="21">
        <f>G30^2</f>
        <v>1.9666431004834915E-6</v>
      </c>
    </row>
    <row r="31" spans="2:20" ht="16.5" thickBot="1" x14ac:dyDescent="0.3">
      <c r="B31" s="18" t="s">
        <v>2</v>
      </c>
      <c r="C31" s="53">
        <f t="shared" ref="C31:H31" si="5">SUM(C6:C30)</f>
        <v>108197.09975999991</v>
      </c>
      <c r="D31" s="80">
        <f t="shared" si="5"/>
        <v>100</v>
      </c>
      <c r="E31" s="80">
        <f t="shared" si="5"/>
        <v>697.46608199012167</v>
      </c>
      <c r="F31" s="53">
        <f t="shared" si="5"/>
        <v>116318.75929500003</v>
      </c>
      <c r="G31" s="22">
        <f t="shared" si="5"/>
        <v>99.999999999999986</v>
      </c>
      <c r="H31" s="23">
        <f t="shared" si="5"/>
        <v>631.10256046534562</v>
      </c>
    </row>
    <row r="33" spans="2:14" x14ac:dyDescent="0.25">
      <c r="B33" s="5"/>
      <c r="F33" s="31"/>
    </row>
    <row r="34" spans="2:14" x14ac:dyDescent="0.25">
      <c r="B34" s="73"/>
      <c r="C34" s="70" t="s">
        <v>30</v>
      </c>
      <c r="D34" s="155" t="s">
        <v>31</v>
      </c>
      <c r="E34" s="155"/>
      <c r="F34" s="113"/>
      <c r="G34" s="67"/>
      <c r="L34" s="31"/>
    </row>
    <row r="35" spans="2:14" x14ac:dyDescent="0.25">
      <c r="B35" s="74" t="s">
        <v>25</v>
      </c>
      <c r="C35" s="133">
        <f>(D6+D7+D8+D10)/100</f>
        <v>0.41856699551518584</v>
      </c>
      <c r="D35" s="141">
        <f>(G6+G7+G8+G9)/100</f>
        <v>0.37685377771979256</v>
      </c>
      <c r="E35" s="141"/>
      <c r="F35" s="68"/>
      <c r="G35" s="68"/>
    </row>
    <row r="36" spans="2:14" x14ac:dyDescent="0.25">
      <c r="B36" s="74" t="s">
        <v>0</v>
      </c>
      <c r="C36" s="65">
        <f>E31</f>
        <v>697.46608199012167</v>
      </c>
      <c r="D36" s="151">
        <f>H31</f>
        <v>631.10256046534562</v>
      </c>
      <c r="E36" s="151"/>
      <c r="F36" s="69"/>
      <c r="G36" s="69"/>
    </row>
    <row r="37" spans="2:14" x14ac:dyDescent="0.25">
      <c r="L37" s="90"/>
    </row>
    <row r="38" spans="2:14" x14ac:dyDescent="0.25">
      <c r="L38" s="46"/>
      <c r="M38" s="42"/>
      <c r="N38" s="42"/>
    </row>
    <row r="39" spans="2:14" x14ac:dyDescent="0.25">
      <c r="L39" s="50"/>
    </row>
    <row r="40" spans="2:14" x14ac:dyDescent="0.25">
      <c r="C40" s="6"/>
      <c r="F40" s="7"/>
    </row>
    <row r="41" spans="2:14" x14ac:dyDescent="0.25">
      <c r="C41" s="6"/>
      <c r="F41" s="7"/>
    </row>
    <row r="42" spans="2:14" x14ac:dyDescent="0.25">
      <c r="F42" s="7"/>
    </row>
    <row r="43" spans="2:14" x14ac:dyDescent="0.25">
      <c r="F43" s="7"/>
    </row>
    <row r="44" spans="2:14" x14ac:dyDescent="0.25">
      <c r="F44" s="7"/>
      <c r="I44" s="75"/>
    </row>
    <row r="45" spans="2:14" x14ac:dyDescent="0.25">
      <c r="F45" s="7"/>
      <c r="I45" s="76"/>
    </row>
    <row r="46" spans="2:14" x14ac:dyDescent="0.25">
      <c r="F46" s="8"/>
      <c r="I46" s="77"/>
    </row>
    <row r="47" spans="2:14" x14ac:dyDescent="0.25">
      <c r="I47" s="77"/>
    </row>
    <row r="48" spans="2:14" x14ac:dyDescent="0.25">
      <c r="I48" s="75"/>
    </row>
    <row r="49" spans="3:9" x14ac:dyDescent="0.25">
      <c r="I49" s="77"/>
    </row>
    <row r="50" spans="3:9" x14ac:dyDescent="0.25">
      <c r="I50" s="75"/>
    </row>
    <row r="51" spans="3:9" x14ac:dyDescent="0.25">
      <c r="I51" s="75"/>
    </row>
    <row r="60" spans="3:9" x14ac:dyDescent="0.25">
      <c r="C60" s="49"/>
      <c r="D60" s="7"/>
    </row>
  </sheetData>
  <mergeCells count="7">
    <mergeCell ref="D35:E35"/>
    <mergeCell ref="D36:E36"/>
    <mergeCell ref="B2:H2"/>
    <mergeCell ref="F4:H4"/>
    <mergeCell ref="B4:B5"/>
    <mergeCell ref="C4:E4"/>
    <mergeCell ref="D34:E34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6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29.42578125" style="4" customWidth="1"/>
    <col min="3" max="3" width="16.7109375" style="4" customWidth="1"/>
    <col min="4" max="4" width="7.85546875" style="4" customWidth="1"/>
    <col min="5" max="5" width="7.5703125" style="4" customWidth="1"/>
    <col min="6" max="6" width="16.7109375" style="4" customWidth="1"/>
    <col min="7" max="7" width="7.85546875" style="4" customWidth="1"/>
    <col min="8" max="8" width="7.5703125" style="4" customWidth="1"/>
    <col min="9" max="16384" width="10.42578125" style="4"/>
  </cols>
  <sheetData>
    <row r="2" spans="2:10" x14ac:dyDescent="0.25">
      <c r="B2" s="152" t="s">
        <v>35</v>
      </c>
      <c r="C2" s="153"/>
      <c r="D2" s="153"/>
      <c r="E2" s="153"/>
      <c r="F2" s="153"/>
      <c r="G2" s="153"/>
      <c r="H2" s="154"/>
    </row>
    <row r="3" spans="2:10" ht="16.5" thickBot="1" x14ac:dyDescent="0.3">
      <c r="B3" s="35"/>
    </row>
    <row r="4" spans="2:10" x14ac:dyDescent="0.25">
      <c r="B4" s="148" t="s">
        <v>42</v>
      </c>
      <c r="C4" s="146" t="s">
        <v>30</v>
      </c>
      <c r="D4" s="146"/>
      <c r="E4" s="146"/>
      <c r="F4" s="146" t="s">
        <v>31</v>
      </c>
      <c r="G4" s="146"/>
      <c r="H4" s="147"/>
    </row>
    <row r="5" spans="2:10" ht="42" customHeight="1" x14ac:dyDescent="0.25">
      <c r="B5" s="149"/>
      <c r="C5" s="12" t="s">
        <v>43</v>
      </c>
      <c r="D5" s="12" t="s">
        <v>1</v>
      </c>
      <c r="E5" s="13" t="s">
        <v>0</v>
      </c>
      <c r="F5" s="12" t="s">
        <v>43</v>
      </c>
      <c r="G5" s="12" t="s">
        <v>1</v>
      </c>
      <c r="H5" s="14" t="s">
        <v>0</v>
      </c>
    </row>
    <row r="6" spans="2:10" x14ac:dyDescent="0.25">
      <c r="B6" s="43" t="s">
        <v>4</v>
      </c>
      <c r="C6" s="91">
        <f>'HHI - Neživotno'!C12+'HHI - Životno'!C6</f>
        <v>12090.91243</v>
      </c>
      <c r="D6" s="81">
        <f t="shared" ref="D6:D29" si="0">C6/C$31*100</f>
        <v>8.8409054713420261</v>
      </c>
      <c r="E6" s="82">
        <f>D6^2</f>
        <v>78.161609553205366</v>
      </c>
      <c r="F6" s="122">
        <f>'HHI - Neživotno'!F12+'HHI - Životno'!F6</f>
        <v>14264.565549999999</v>
      </c>
      <c r="G6" s="81">
        <f t="shared" ref="G6:G29" si="1">F6/F$31*100</f>
        <v>9.7441050211494602</v>
      </c>
      <c r="H6" s="83">
        <f>G6^2</f>
        <v>94.947582663190119</v>
      </c>
      <c r="J6" s="32" t="s">
        <v>40</v>
      </c>
    </row>
    <row r="7" spans="2:10" x14ac:dyDescent="0.25">
      <c r="B7" s="43" t="s">
        <v>27</v>
      </c>
      <c r="C7" s="91">
        <f>'HHI - Neživotno'!C6+'HHI - Životno'!C13</f>
        <v>16508.639939999997</v>
      </c>
      <c r="D7" s="81">
        <f t="shared" si="0"/>
        <v>12.071158898465487</v>
      </c>
      <c r="E7" s="82">
        <f>D7^2</f>
        <v>145.71287715200251</v>
      </c>
      <c r="F7" s="122">
        <f>'HHI - Neživotno'!F6+'HHI - Životno'!F13</f>
        <v>13654.313689999999</v>
      </c>
      <c r="G7" s="81">
        <f t="shared" si="1"/>
        <v>9.3272428186275036</v>
      </c>
      <c r="H7" s="83">
        <f t="shared" ref="H7:H27" si="2">G7^2</f>
        <v>86.997458597638342</v>
      </c>
    </row>
    <row r="8" spans="2:10" x14ac:dyDescent="0.25">
      <c r="B8" s="43" t="s">
        <v>10</v>
      </c>
      <c r="C8" s="91">
        <f>'HHI - Neživotno'!C7</f>
        <v>11640.688279999998</v>
      </c>
      <c r="D8" s="81">
        <f t="shared" si="0"/>
        <v>8.5117004444997857</v>
      </c>
      <c r="E8" s="82">
        <f>D8^2</f>
        <v>72.449044456897852</v>
      </c>
      <c r="F8" s="122">
        <f>'HHI - Neživotno'!F7</f>
        <v>12448.427609999999</v>
      </c>
      <c r="G8" s="81">
        <f t="shared" si="1"/>
        <v>8.5035037032737772</v>
      </c>
      <c r="H8" s="83">
        <f>G8^2</f>
        <v>72.309575231590841</v>
      </c>
      <c r="J8" s="32" t="s">
        <v>41</v>
      </c>
    </row>
    <row r="9" spans="2:10" x14ac:dyDescent="0.25">
      <c r="B9" s="43" t="s">
        <v>26</v>
      </c>
      <c r="C9" s="91">
        <f>'HHI - Neživotno'!C8+'HHI - Životno'!C12</f>
        <v>10616.76549</v>
      </c>
      <c r="D9" s="81">
        <f t="shared" si="0"/>
        <v>7.7630055342726685</v>
      </c>
      <c r="E9" s="82">
        <f t="shared" ref="E9:E28" si="3">D9^2</f>
        <v>60.26425492514808</v>
      </c>
      <c r="F9" s="122">
        <f>'HHI - Neživotno'!F8+'HHI - Životno'!F12</f>
        <v>11547.632790000001</v>
      </c>
      <c r="G9" s="81">
        <f t="shared" si="1"/>
        <v>7.888172006151926</v>
      </c>
      <c r="H9" s="83">
        <f t="shared" si="2"/>
        <v>62.223257598638902</v>
      </c>
    </row>
    <row r="10" spans="2:10" x14ac:dyDescent="0.25">
      <c r="B10" s="43" t="s">
        <v>8</v>
      </c>
      <c r="C10" s="91">
        <f>'HHI - Neživotno'!C11+'HHI - Životno'!C10</f>
        <v>9473.9750500000009</v>
      </c>
      <c r="D10" s="132">
        <f t="shared" si="0"/>
        <v>6.9273943004566814</v>
      </c>
      <c r="E10" s="82">
        <f>D10^2</f>
        <v>47.988791793999717</v>
      </c>
      <c r="F10" s="122">
        <f>'HHI - Neživotno'!F11+'HHI - Životno'!F10</f>
        <v>10143.018189999999</v>
      </c>
      <c r="G10" s="136">
        <f t="shared" si="1"/>
        <v>6.9286817133234955</v>
      </c>
      <c r="H10" s="83">
        <f>G10^2</f>
        <v>48.006630284543405</v>
      </c>
      <c r="J10" s="32" t="s">
        <v>44</v>
      </c>
    </row>
    <row r="11" spans="2:10" x14ac:dyDescent="0.25">
      <c r="B11" s="43" t="s">
        <v>7</v>
      </c>
      <c r="C11" s="91">
        <f>'HHI - Neživotno'!C9+'HHI - Životno'!C11</f>
        <v>8073.6562199999989</v>
      </c>
      <c r="D11" s="132">
        <f t="shared" si="0"/>
        <v>5.9034776624490499</v>
      </c>
      <c r="E11" s="82">
        <f t="shared" si="3"/>
        <v>34.851048511034897</v>
      </c>
      <c r="F11" s="122">
        <f>'HHI - Neživotno'!F9+'HHI - Životno'!F11</f>
        <v>9954.7443199999998</v>
      </c>
      <c r="G11" s="136">
        <f t="shared" si="1"/>
        <v>6.8000720928210159</v>
      </c>
      <c r="H11" s="83">
        <f t="shared" si="2"/>
        <v>46.24098046756319</v>
      </c>
      <c r="J11" s="2" t="s">
        <v>45</v>
      </c>
    </row>
    <row r="12" spans="2:10" x14ac:dyDescent="0.25">
      <c r="B12" s="51" t="s">
        <v>28</v>
      </c>
      <c r="C12" s="91">
        <f>'HHI - Neživotno'!C10+'HHI - Životno'!C14</f>
        <v>9195.5979499999994</v>
      </c>
      <c r="D12" s="132">
        <f t="shared" si="0"/>
        <v>6.7238442672615157</v>
      </c>
      <c r="E12" s="82">
        <f t="shared" ref="E12:E17" si="4">D12^2</f>
        <v>45.210081730385546</v>
      </c>
      <c r="F12" s="122">
        <f>'HHI - Neživotno'!F10+'HHI - Životno'!F14</f>
        <v>8741.0902900000001</v>
      </c>
      <c r="G12" s="136">
        <f t="shared" si="1"/>
        <v>5.9710267015534724</v>
      </c>
      <c r="H12" s="83">
        <f t="shared" ref="H12:H17" si="5">G12^2</f>
        <v>35.653159870664538</v>
      </c>
    </row>
    <row r="13" spans="2:10" x14ac:dyDescent="0.25">
      <c r="B13" s="43" t="s">
        <v>3</v>
      </c>
      <c r="C13" s="91">
        <f>'HHI - Neživotno'!C29+'HHI - Životno'!C7</f>
        <v>7278.7616200000102</v>
      </c>
      <c r="D13" s="132">
        <f t="shared" si="0"/>
        <v>5.322248738745718</v>
      </c>
      <c r="E13" s="82">
        <f t="shared" si="4"/>
        <v>28.326331637080386</v>
      </c>
      <c r="F13" s="122">
        <f>'HHI - Neživotno'!F29+'HHI - Životno'!F7</f>
        <v>6501.0288400000009</v>
      </c>
      <c r="G13" s="136">
        <f t="shared" si="1"/>
        <v>4.4408438196339919</v>
      </c>
      <c r="H13" s="83">
        <f t="shared" si="5"/>
        <v>19.721093830381424</v>
      </c>
    </row>
    <row r="14" spans="2:10" x14ac:dyDescent="0.25">
      <c r="B14" s="43" t="s">
        <v>13</v>
      </c>
      <c r="C14" s="91">
        <f>'HHI - Neživotno'!C13</f>
        <v>5056.7431500000002</v>
      </c>
      <c r="D14" s="132">
        <f t="shared" si="0"/>
        <v>3.6975032646073269</v>
      </c>
      <c r="E14" s="82">
        <f t="shared" si="4"/>
        <v>13.67153039178184</v>
      </c>
      <c r="F14" s="122">
        <f>'HHI - Neživotno'!F13</f>
        <v>6074.9052099999999</v>
      </c>
      <c r="G14" s="132">
        <f t="shared" si="1"/>
        <v>4.1497593566575901</v>
      </c>
      <c r="H14" s="83">
        <f t="shared" si="5"/>
        <v>17.220502718167214</v>
      </c>
    </row>
    <row r="15" spans="2:10" x14ac:dyDescent="0.25">
      <c r="B15" s="43" t="s">
        <v>6</v>
      </c>
      <c r="C15" s="91">
        <f>'HHI - Neživotno'!C30+'HHI - Životno'!C8</f>
        <v>3125.7072300000004</v>
      </c>
      <c r="D15" s="132">
        <f t="shared" si="0"/>
        <v>2.2855249602961791</v>
      </c>
      <c r="E15" s="82">
        <f t="shared" si="4"/>
        <v>5.2236243441368515</v>
      </c>
      <c r="F15" s="122">
        <f>'HHI - Neživotno'!F30+'HHI - Životno'!F8</f>
        <v>5621.2455000000009</v>
      </c>
      <c r="G15" s="132">
        <f t="shared" si="1"/>
        <v>3.8398650354734296</v>
      </c>
      <c r="H15" s="83">
        <f t="shared" si="5"/>
        <v>14.744563490651363</v>
      </c>
    </row>
    <row r="16" spans="2:10" x14ac:dyDescent="0.25">
      <c r="B16" s="43" t="s">
        <v>11</v>
      </c>
      <c r="C16" s="91">
        <f>'HHI - Neživotno'!C14</f>
        <v>5161.9029900000005</v>
      </c>
      <c r="D16" s="132">
        <f t="shared" si="0"/>
        <v>3.7743964031693644</v>
      </c>
      <c r="E16" s="82">
        <f t="shared" si="4"/>
        <v>14.246068208257835</v>
      </c>
      <c r="F16" s="122">
        <f>'HHI - Neživotno'!F14</f>
        <v>5532.8501500000002</v>
      </c>
      <c r="G16" s="85">
        <f t="shared" si="1"/>
        <v>3.7794822940038677</v>
      </c>
      <c r="H16" s="83">
        <f t="shared" si="5"/>
        <v>14.284486410688737</v>
      </c>
    </row>
    <row r="17" spans="2:10" x14ac:dyDescent="0.25">
      <c r="B17" s="43" t="s">
        <v>5</v>
      </c>
      <c r="C17" s="91">
        <f>'HHI - Neživotno'!C25+'HHI - Životno'!C9</f>
        <v>7062.3638700000001</v>
      </c>
      <c r="D17" s="132">
        <f t="shared" si="0"/>
        <v>5.1640181616046359</v>
      </c>
      <c r="E17" s="82">
        <f t="shared" si="4"/>
        <v>26.667083573382524</v>
      </c>
      <c r="F17" s="122">
        <f>'HHI - Neživotno'!F25+'HHI - Životno'!F9</f>
        <v>5257.9941200000103</v>
      </c>
      <c r="G17" s="85">
        <f t="shared" si="1"/>
        <v>3.5917285196159678</v>
      </c>
      <c r="H17" s="83">
        <f t="shared" si="5"/>
        <v>12.900513758622711</v>
      </c>
      <c r="J17" s="32"/>
    </row>
    <row r="18" spans="2:10" x14ac:dyDescent="0.25">
      <c r="B18" s="44" t="s">
        <v>9</v>
      </c>
      <c r="C18" s="91">
        <f>'HHI - Neživotno'!C15+'HHI - Životno'!C15</f>
        <v>3558.79684</v>
      </c>
      <c r="D18" s="132">
        <f t="shared" si="0"/>
        <v>2.6022011685474351</v>
      </c>
      <c r="E18" s="82">
        <f t="shared" si="3"/>
        <v>6.7714509215896364</v>
      </c>
      <c r="F18" s="122">
        <f>'HHI - Neživotno'!F15+'HHI - Životno'!F15</f>
        <v>4822.2346500000003</v>
      </c>
      <c r="G18" s="84">
        <f t="shared" si="1"/>
        <v>3.294061827647174</v>
      </c>
      <c r="H18" s="83">
        <f t="shared" si="2"/>
        <v>10.850843324362241</v>
      </c>
    </row>
    <row r="19" spans="2:10" x14ac:dyDescent="0.25">
      <c r="B19" s="43" t="s">
        <v>17</v>
      </c>
      <c r="C19" s="91">
        <f>'HHI - Neživotno'!C16</f>
        <v>3610.53410999991</v>
      </c>
      <c r="D19" s="84">
        <f t="shared" si="0"/>
        <v>2.6400315900365192</v>
      </c>
      <c r="E19" s="82">
        <f>D19^2</f>
        <v>6.9697667963907515</v>
      </c>
      <c r="F19" s="122">
        <f>'HHI - Neživotno'!F16</f>
        <v>4563.5864599999995</v>
      </c>
      <c r="G19" s="84">
        <f t="shared" si="1"/>
        <v>3.1173796063726376</v>
      </c>
      <c r="H19" s="83">
        <f>G19^2</f>
        <v>9.7180556102280207</v>
      </c>
    </row>
    <row r="20" spans="2:10" x14ac:dyDescent="0.25">
      <c r="B20" s="43" t="s">
        <v>14</v>
      </c>
      <c r="C20" s="91">
        <f>'HHI - Neživotno'!C17</f>
        <v>3798.4828399999997</v>
      </c>
      <c r="D20" s="84">
        <f t="shared" si="0"/>
        <v>2.7774601724540644</v>
      </c>
      <c r="E20" s="82">
        <f>D20^2</f>
        <v>7.7142850095685613</v>
      </c>
      <c r="F20" s="122">
        <f>'HHI - Neživotno'!F17</f>
        <v>4398.6929500000006</v>
      </c>
      <c r="G20" s="84">
        <f t="shared" si="1"/>
        <v>3.0047410774869157</v>
      </c>
      <c r="H20" s="83">
        <f>G20^2</f>
        <v>9.0284689427372307</v>
      </c>
    </row>
    <row r="21" spans="2:10" x14ac:dyDescent="0.25">
      <c r="B21" s="43" t="s">
        <v>15</v>
      </c>
      <c r="C21" s="91">
        <f>'HHI - Neživotno'!C18</f>
        <v>3222.37462</v>
      </c>
      <c r="D21" s="84">
        <f t="shared" si="0"/>
        <v>2.3562083981342408</v>
      </c>
      <c r="E21" s="82">
        <f t="shared" si="3"/>
        <v>5.5517180154383245</v>
      </c>
      <c r="F21" s="122">
        <f>'HHI - Neživotno'!F18</f>
        <v>3399.8597500000001</v>
      </c>
      <c r="G21" s="84">
        <f t="shared" si="1"/>
        <v>2.3224394984240475</v>
      </c>
      <c r="H21" s="83">
        <f>G21^2</f>
        <v>5.393725223840141</v>
      </c>
    </row>
    <row r="22" spans="2:10" x14ac:dyDescent="0.25">
      <c r="B22" s="43" t="s">
        <v>22</v>
      </c>
      <c r="C22" s="91">
        <f>'HHI - Neživotno'!C19</f>
        <v>3237.5492799999997</v>
      </c>
      <c r="D22" s="84">
        <f t="shared" si="0"/>
        <v>2.3673041475573262</v>
      </c>
      <c r="E22" s="82">
        <f t="shared" si="3"/>
        <v>5.6041289270421188</v>
      </c>
      <c r="F22" s="122">
        <f>'HHI - Neživotno'!F19</f>
        <v>3356.9783299999999</v>
      </c>
      <c r="G22" s="84">
        <f t="shared" si="1"/>
        <v>2.2931472596614011</v>
      </c>
      <c r="H22" s="83">
        <f t="shared" si="2"/>
        <v>5.258524354492593</v>
      </c>
    </row>
    <row r="23" spans="2:10" x14ac:dyDescent="0.25">
      <c r="B23" s="43" t="s">
        <v>18</v>
      </c>
      <c r="C23" s="91">
        <f>'HHI - Neživotno'!C20</f>
        <v>2736.3215399999999</v>
      </c>
      <c r="D23" s="84">
        <f t="shared" si="0"/>
        <v>2.0008051678807033</v>
      </c>
      <c r="E23" s="82">
        <f t="shared" si="3"/>
        <v>4.0032213198181292</v>
      </c>
      <c r="F23" s="122">
        <f>'HHI - Neživotno'!F20</f>
        <v>3015.6121800000001</v>
      </c>
      <c r="G23" s="84">
        <f t="shared" si="1"/>
        <v>2.0599605141831656</v>
      </c>
      <c r="H23" s="83">
        <f>G23^2</f>
        <v>4.243437319993772</v>
      </c>
    </row>
    <row r="24" spans="2:10" x14ac:dyDescent="0.25">
      <c r="B24" s="43" t="s">
        <v>20</v>
      </c>
      <c r="C24" s="91">
        <f>'HHI - Neživotno'!C21</f>
        <v>1876.6161000000002</v>
      </c>
      <c r="D24" s="84">
        <f t="shared" si="0"/>
        <v>1.3721863955389291</v>
      </c>
      <c r="E24" s="82">
        <f>D24^2</f>
        <v>1.8828955041021183</v>
      </c>
      <c r="F24" s="122">
        <f>'HHI - Neživotno'!F21</f>
        <v>2661.2234100000001</v>
      </c>
      <c r="G24" s="84">
        <f t="shared" si="1"/>
        <v>1.8178780349732762</v>
      </c>
      <c r="H24" s="83">
        <f>G24^2</f>
        <v>3.3046805500382996</v>
      </c>
    </row>
    <row r="25" spans="2:10" x14ac:dyDescent="0.25">
      <c r="B25" s="45" t="s">
        <v>16</v>
      </c>
      <c r="C25" s="91">
        <f>'HHI - Neživotno'!C22</f>
        <v>2578.2531099999997</v>
      </c>
      <c r="D25" s="84">
        <f t="shared" si="0"/>
        <v>1.8852251357099268</v>
      </c>
      <c r="E25" s="82">
        <f>D25^2</f>
        <v>3.5540738123125117</v>
      </c>
      <c r="F25" s="122">
        <f>'HHI - Neživotno'!F22</f>
        <v>2474.5055200000002</v>
      </c>
      <c r="G25" s="84">
        <f t="shared" si="1"/>
        <v>1.6903313022592588</v>
      </c>
      <c r="H25" s="83">
        <f>G25^2</f>
        <v>2.8572199113974817</v>
      </c>
    </row>
    <row r="26" spans="2:10" x14ac:dyDescent="0.25">
      <c r="B26" s="43" t="s">
        <v>19</v>
      </c>
      <c r="C26" s="91">
        <f>'HHI - Neživotno'!C23</f>
        <v>2265.5577599999997</v>
      </c>
      <c r="D26" s="84">
        <f t="shared" si="0"/>
        <v>1.6565815121055656</v>
      </c>
      <c r="E26" s="82">
        <f t="shared" si="3"/>
        <v>2.7442623062499623</v>
      </c>
      <c r="F26" s="122">
        <f>'HHI - Neživotno'!F23</f>
        <v>2015.85329</v>
      </c>
      <c r="G26" s="84">
        <f t="shared" si="1"/>
        <v>1.3770265975601099</v>
      </c>
      <c r="H26" s="83">
        <f t="shared" si="2"/>
        <v>1.896202250387973</v>
      </c>
    </row>
    <row r="27" spans="2:10" x14ac:dyDescent="0.25">
      <c r="B27" s="43" t="s">
        <v>21</v>
      </c>
      <c r="C27" s="91">
        <f>'HHI - Neživotno'!C24</f>
        <v>1576.2628300000001</v>
      </c>
      <c r="D27" s="84">
        <f t="shared" si="0"/>
        <v>1.1525673317625762</v>
      </c>
      <c r="E27" s="82">
        <f t="shared" si="3"/>
        <v>1.3284114542463044</v>
      </c>
      <c r="F27" s="122">
        <f>'HHI - Neživotno'!F24</f>
        <v>1933.4949550000001</v>
      </c>
      <c r="G27" s="84">
        <f t="shared" si="1"/>
        <v>1.3207677326970992</v>
      </c>
      <c r="H27" s="83">
        <f t="shared" si="2"/>
        <v>1.7444274037338361</v>
      </c>
    </row>
    <row r="28" spans="2:10" x14ac:dyDescent="0.25">
      <c r="B28" s="52" t="s">
        <v>29</v>
      </c>
      <c r="C28" s="92">
        <f>'HHI - Neživotno'!C26</f>
        <v>1108.6586200000002</v>
      </c>
      <c r="D28" s="84">
        <f t="shared" si="0"/>
        <v>0.81065396149002633</v>
      </c>
      <c r="E28" s="82">
        <f t="shared" si="3"/>
        <v>0.65715984527947313</v>
      </c>
      <c r="F28" s="123">
        <f>'HHI - Neživotno'!F26</f>
        <v>1742.0858799999999</v>
      </c>
      <c r="G28" s="84">
        <f t="shared" si="1"/>
        <v>1.1900164579903083</v>
      </c>
      <c r="H28" s="83">
        <f>G28^2</f>
        <v>1.4161391702877992</v>
      </c>
    </row>
    <row r="29" spans="2:10" x14ac:dyDescent="0.25">
      <c r="B29" s="43" t="s">
        <v>12</v>
      </c>
      <c r="C29" s="91">
        <f>'HHI - Neživotno'!C27</f>
        <v>1905.89734</v>
      </c>
      <c r="D29" s="84">
        <f t="shared" si="0"/>
        <v>1.3935969116122537</v>
      </c>
      <c r="E29" s="82">
        <f>D29^2</f>
        <v>1.9421123520552117</v>
      </c>
      <c r="F29" s="122">
        <f>'HHI - Neživotno'!F27</f>
        <v>1739.38446</v>
      </c>
      <c r="G29" s="84">
        <f t="shared" si="1"/>
        <v>1.1881711217202364</v>
      </c>
      <c r="H29" s="83">
        <f>G29^2</f>
        <v>1.4117506144899248</v>
      </c>
    </row>
    <row r="30" spans="2:10" x14ac:dyDescent="0.25">
      <c r="B30" s="52" t="s">
        <v>37</v>
      </c>
      <c r="C30" s="92" t="s">
        <v>36</v>
      </c>
      <c r="D30" s="114" t="s">
        <v>36</v>
      </c>
      <c r="E30" s="115" t="s">
        <v>36</v>
      </c>
      <c r="F30" s="123">
        <f>'HHI - Neživotno'!F28</f>
        <v>526.41869999999994</v>
      </c>
      <c r="G30" s="114"/>
      <c r="H30" s="116"/>
    </row>
    <row r="31" spans="2:10" ht="16.5" thickBot="1" x14ac:dyDescent="0.3">
      <c r="B31" s="11" t="s">
        <v>2</v>
      </c>
      <c r="C31" s="93">
        <f t="shared" ref="C31:H31" si="6">SUM(C6:C30)</f>
        <v>136761.01920999991</v>
      </c>
      <c r="D31" s="86">
        <f t="shared" si="6"/>
        <v>100</v>
      </c>
      <c r="E31" s="86">
        <f t="shared" si="6"/>
        <v>621.49583254140657</v>
      </c>
      <c r="F31" s="93">
        <f t="shared" si="6"/>
        <v>146391.74679500001</v>
      </c>
      <c r="G31" s="86">
        <f t="shared" si="6"/>
        <v>99.640404113261084</v>
      </c>
      <c r="H31" s="87">
        <f t="shared" si="6"/>
        <v>582.37327959833033</v>
      </c>
    </row>
    <row r="33" spans="2:12" x14ac:dyDescent="0.25">
      <c r="B33" s="5"/>
      <c r="F33" s="34"/>
    </row>
    <row r="34" spans="2:12" x14ac:dyDescent="0.25">
      <c r="B34" s="63"/>
      <c r="C34" s="71" t="s">
        <v>30</v>
      </c>
      <c r="D34" s="156" t="s">
        <v>31</v>
      </c>
      <c r="E34" s="156"/>
      <c r="F34" s="62"/>
      <c r="G34" s="62"/>
      <c r="L34" s="33"/>
    </row>
    <row r="35" spans="2:12" x14ac:dyDescent="0.25">
      <c r="B35" s="55" t="s">
        <v>25</v>
      </c>
      <c r="C35" s="133">
        <f>SUM(D6:D9)/100</f>
        <v>0.37186770348579967</v>
      </c>
      <c r="D35" s="141">
        <f>SUM(G6:G9)/100</f>
        <v>0.35463023549202666</v>
      </c>
      <c r="E35" s="141"/>
      <c r="F35" s="68"/>
      <c r="G35" s="68"/>
    </row>
    <row r="36" spans="2:12" x14ac:dyDescent="0.25">
      <c r="B36" s="55" t="s">
        <v>0</v>
      </c>
      <c r="C36" s="72">
        <f>E31</f>
        <v>621.49583254140657</v>
      </c>
      <c r="D36" s="151">
        <f>H31</f>
        <v>582.37327959833033</v>
      </c>
      <c r="E36" s="151"/>
      <c r="F36" s="69"/>
      <c r="G36" s="69"/>
    </row>
    <row r="39" spans="2:12" x14ac:dyDescent="0.25">
      <c r="L39" s="46"/>
    </row>
    <row r="40" spans="2:12" x14ac:dyDescent="0.25">
      <c r="L40" s="46"/>
    </row>
    <row r="41" spans="2:12" x14ac:dyDescent="0.25">
      <c r="L41" s="36"/>
    </row>
    <row r="46" spans="2:12" x14ac:dyDescent="0.25">
      <c r="I46" s="6"/>
    </row>
  </sheetData>
  <mergeCells count="7">
    <mergeCell ref="D35:E35"/>
    <mergeCell ref="D36:E36"/>
    <mergeCell ref="B2:H2"/>
    <mergeCell ref="F4:H4"/>
    <mergeCell ref="B4:B5"/>
    <mergeCell ref="C4:E4"/>
    <mergeCell ref="D34:E34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31.03.2016. godine.</oddFooter>
  </headerFooter>
  <ignoredErrors>
    <ignoredError sqref="F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2020-02-21T10:39:37Z</cp:lastPrinted>
  <dcterms:created xsi:type="dcterms:W3CDTF">2011-07-19T10:02:04Z</dcterms:created>
  <dcterms:modified xsi:type="dcterms:W3CDTF">2020-02-21T10:40:19Z</dcterms:modified>
</cp:coreProperties>
</file>