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18720" windowHeight="5250" tabRatio="559"/>
  </bookViews>
  <sheets>
    <sheet name="Udio" sheetId="4" r:id="rId1"/>
    <sheet name="HHI - Životno" sheetId="5" r:id="rId2"/>
    <sheet name="HHI - Neživotno" sheetId="6" r:id="rId3"/>
    <sheet name="HHI - Ukupno" sheetId="7" r:id="rId4"/>
  </sheets>
  <calcPr calcId="145621"/>
</workbook>
</file>

<file path=xl/calcChain.xml><?xml version="1.0" encoding="utf-8"?>
<calcChain xmlns="http://schemas.openxmlformats.org/spreadsheetml/2006/main">
  <c r="G21" i="5" l="1"/>
  <c r="N32" i="7" l="1"/>
  <c r="N31" i="6"/>
  <c r="L27" i="6"/>
  <c r="L31" i="6" s="1"/>
  <c r="L28" i="6"/>
  <c r="L26" i="6"/>
  <c r="L25" i="6"/>
  <c r="L24" i="6"/>
  <c r="L23" i="6"/>
  <c r="L20" i="6"/>
  <c r="L21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C31" i="6"/>
  <c r="L14" i="5" l="1"/>
  <c r="L29" i="7"/>
  <c r="L27" i="7"/>
  <c r="L22" i="6"/>
  <c r="L25" i="7" s="1"/>
  <c r="L24" i="7"/>
  <c r="L20" i="7"/>
  <c r="L28" i="7"/>
  <c r="L29" i="6"/>
  <c r="L9" i="5"/>
  <c r="L18" i="7"/>
  <c r="L15" i="5"/>
  <c r="L15" i="7"/>
  <c r="L22" i="7"/>
  <c r="L26" i="7"/>
  <c r="L21" i="7" l="1"/>
  <c r="L12" i="7"/>
  <c r="L17" i="7"/>
  <c r="L8" i="5"/>
  <c r="L11" i="5"/>
  <c r="L16" i="7"/>
  <c r="L7" i="7"/>
  <c r="L23" i="7"/>
  <c r="L19" i="7"/>
  <c r="L6" i="5"/>
  <c r="L8" i="7" s="1"/>
  <c r="L10" i="5"/>
  <c r="L10" i="7" s="1"/>
  <c r="L13" i="5"/>
  <c r="L6" i="7" s="1"/>
  <c r="L7" i="5"/>
  <c r="L14" i="7" s="1"/>
  <c r="L12" i="5"/>
  <c r="L9" i="7" s="1"/>
  <c r="F17" i="5"/>
  <c r="C17" i="5"/>
  <c r="I15" i="5"/>
  <c r="I14" i="5"/>
  <c r="I13" i="5"/>
  <c r="I12" i="5"/>
  <c r="I11" i="5"/>
  <c r="I10" i="5"/>
  <c r="I9" i="5"/>
  <c r="I8" i="5"/>
  <c r="I6" i="5"/>
  <c r="I7" i="5"/>
  <c r="I17" i="5" s="1"/>
  <c r="L13" i="7" l="1"/>
  <c r="L11" i="7"/>
  <c r="J16" i="5"/>
  <c r="K16" i="5" s="1"/>
  <c r="J7" i="5"/>
  <c r="J8" i="5"/>
  <c r="K8" i="5" s="1"/>
  <c r="J10" i="5"/>
  <c r="K10" i="5" s="1"/>
  <c r="J12" i="5"/>
  <c r="K12" i="5" s="1"/>
  <c r="J14" i="5"/>
  <c r="K14" i="5" s="1"/>
  <c r="J6" i="5"/>
  <c r="K6" i="5" s="1"/>
  <c r="J9" i="5"/>
  <c r="K9" i="5" s="1"/>
  <c r="J11" i="5"/>
  <c r="K11" i="5" s="1"/>
  <c r="J13" i="5"/>
  <c r="K13" i="5" s="1"/>
  <c r="J15" i="5"/>
  <c r="K15" i="5" s="1"/>
  <c r="K7" i="5" l="1"/>
  <c r="K17" i="5" s="1"/>
  <c r="J17" i="5"/>
  <c r="L17" i="5" l="1"/>
  <c r="M30" i="6" l="1"/>
  <c r="M13" i="6"/>
  <c r="N13" i="6" s="1"/>
  <c r="M9" i="6"/>
  <c r="M23" i="6"/>
  <c r="M25" i="6"/>
  <c r="M20" i="6"/>
  <c r="M29" i="6"/>
  <c r="M14" i="6"/>
  <c r="M15" i="6"/>
  <c r="M19" i="6"/>
  <c r="M22" i="6"/>
  <c r="M27" i="6"/>
  <c r="M12" i="6"/>
  <c r="M16" i="6"/>
  <c r="M18" i="6"/>
  <c r="M17" i="6"/>
  <c r="M21" i="6"/>
  <c r="M24" i="6"/>
  <c r="M26" i="6"/>
  <c r="M28" i="6"/>
  <c r="M8" i="6"/>
  <c r="M6" i="6"/>
  <c r="M10" i="6"/>
  <c r="M7" i="6"/>
  <c r="G35" i="6" l="1"/>
  <c r="N30" i="6"/>
  <c r="L32" i="7"/>
  <c r="M7" i="7" s="1"/>
  <c r="N7" i="7" s="1"/>
  <c r="N6" i="6" l="1"/>
  <c r="N27" i="6"/>
  <c r="M25" i="7"/>
  <c r="N25" i="7" s="1"/>
  <c r="M17" i="7"/>
  <c r="N17" i="7" s="1"/>
  <c r="M27" i="7"/>
  <c r="N27" i="7" s="1"/>
  <c r="M28" i="7"/>
  <c r="N28" i="7" s="1"/>
  <c r="M24" i="7"/>
  <c r="N24" i="7" s="1"/>
  <c r="M22" i="7"/>
  <c r="N22" i="7" s="1"/>
  <c r="M12" i="7"/>
  <c r="N12" i="7" s="1"/>
  <c r="M9" i="7"/>
  <c r="N9" i="7" s="1"/>
  <c r="M29" i="7"/>
  <c r="N29" i="7" s="1"/>
  <c r="M23" i="7"/>
  <c r="N23" i="7" s="1"/>
  <c r="M20" i="7"/>
  <c r="N20" i="7" s="1"/>
  <c r="M15" i="7"/>
  <c r="N15" i="7" s="1"/>
  <c r="M13" i="7"/>
  <c r="N13" i="7" s="1"/>
  <c r="M30" i="7"/>
  <c r="N30" i="7" s="1"/>
  <c r="M31" i="7"/>
  <c r="N31" i="7" s="1"/>
  <c r="M21" i="7"/>
  <c r="N21" i="7" s="1"/>
  <c r="M14" i="7"/>
  <c r="N14" i="7" s="1"/>
  <c r="M8" i="7"/>
  <c r="N8" i="7" s="1"/>
  <c r="M19" i="7"/>
  <c r="N19" i="7" s="1"/>
  <c r="M26" i="7"/>
  <c r="N26" i="7" s="1"/>
  <c r="M16" i="7"/>
  <c r="N16" i="7" s="1"/>
  <c r="M10" i="7"/>
  <c r="N10" i="7" s="1"/>
  <c r="M6" i="7"/>
  <c r="M11" i="5"/>
  <c r="N11" i="5" s="1"/>
  <c r="F7" i="4" l="1"/>
  <c r="F5" i="4"/>
  <c r="G36" i="7"/>
  <c r="M7" i="5"/>
  <c r="M11" i="6"/>
  <c r="N11" i="6" s="1"/>
  <c r="N26" i="6"/>
  <c r="N28" i="6"/>
  <c r="N18" i="6"/>
  <c r="N29" i="6"/>
  <c r="N15" i="6"/>
  <c r="N16" i="6"/>
  <c r="N21" i="6"/>
  <c r="N17" i="6"/>
  <c r="N12" i="6"/>
  <c r="N9" i="6"/>
  <c r="N24" i="6"/>
  <c r="N25" i="6"/>
  <c r="N20" i="6"/>
  <c r="N22" i="6"/>
  <c r="N19" i="6"/>
  <c r="N23" i="6"/>
  <c r="N14" i="6"/>
  <c r="N10" i="6"/>
  <c r="N8" i="6"/>
  <c r="M9" i="5"/>
  <c r="N9" i="5" s="1"/>
  <c r="M8" i="5"/>
  <c r="N8" i="5" s="1"/>
  <c r="M15" i="5"/>
  <c r="N15" i="5" s="1"/>
  <c r="M14" i="5"/>
  <c r="N14" i="5" s="1"/>
  <c r="M16" i="5"/>
  <c r="N16" i="5" s="1"/>
  <c r="M12" i="5"/>
  <c r="N12" i="5" s="1"/>
  <c r="M13" i="5"/>
  <c r="N13" i="5" s="1"/>
  <c r="M10" i="5"/>
  <c r="N10" i="5" s="1"/>
  <c r="M6" i="5"/>
  <c r="N6" i="5" s="1"/>
  <c r="N7" i="5" l="1"/>
  <c r="N17" i="5" s="1"/>
  <c r="M17" i="5"/>
  <c r="N7" i="6"/>
  <c r="M11" i="7"/>
  <c r="M18" i="7"/>
  <c r="N18" i="7" s="1"/>
  <c r="N6" i="7"/>
  <c r="M31" i="6"/>
  <c r="N11" i="7" l="1"/>
  <c r="F6" i="4"/>
  <c r="M32" i="7"/>
</calcChain>
</file>

<file path=xl/sharedStrings.xml><?xml version="1.0" encoding="utf-8"?>
<sst xmlns="http://schemas.openxmlformats.org/spreadsheetml/2006/main" count="177" uniqueCount="65">
  <si>
    <t>HHI</t>
  </si>
  <si>
    <t xml:space="preserve"> </t>
  </si>
  <si>
    <t>Tržišni udio</t>
  </si>
  <si>
    <t>UKUPNO:</t>
  </si>
  <si>
    <t>Merkur BH osiguranje d.d.</t>
  </si>
  <si>
    <t>Uniqa osiguranje d.d.</t>
  </si>
  <si>
    <t>Grawe osiguranje d.d.</t>
  </si>
  <si>
    <t>Grawe osiguranje a.d.</t>
  </si>
  <si>
    <t>Croatia osiguranje d.d.</t>
  </si>
  <si>
    <t>Triglav osiguranje d.d.</t>
  </si>
  <si>
    <t>Dunav osiguranje a.d.</t>
  </si>
  <si>
    <t>Euroherc osiguranje d.d.</t>
  </si>
  <si>
    <t>VGT osiguranje d.d.</t>
  </si>
  <si>
    <t>Bobar osiguranje a.d.</t>
  </si>
  <si>
    <t>Drina osiguranje a.d.</t>
  </si>
  <si>
    <t>Zovko osiguranje d.d.</t>
  </si>
  <si>
    <t>Nešković osiguranje a.d.</t>
  </si>
  <si>
    <t>Triglav osiguranje a.d.</t>
  </si>
  <si>
    <t>ASA osiguranje d.d.</t>
  </si>
  <si>
    <t>Camelija osiguranje d.d.</t>
  </si>
  <si>
    <t>Krajina osiguranje a.d.</t>
  </si>
  <si>
    <t>Osiguranje Aura a.d.</t>
  </si>
  <si>
    <t>Mikrofin osiguranje a.d.</t>
  </si>
  <si>
    <t>Brčko-gas osiguranje d.d.</t>
  </si>
  <si>
    <t>Dominantno društvo</t>
  </si>
  <si>
    <t>Udio u ukupnoj premiji (%)</t>
  </si>
  <si>
    <t>HHI indeks za tržište životnog osiguranja u BiH</t>
  </si>
  <si>
    <t>Tržišni udio prva četiri društva</t>
  </si>
  <si>
    <t>Bosna-Sunce osiguranje d.d.</t>
  </si>
  <si>
    <t>HHI indeks za tržište neživotnog osiguranja u BiH</t>
  </si>
  <si>
    <t>HHI indeks za tržište životnog i neživotnog osiguranja u BiH</t>
  </si>
  <si>
    <t>LOK osiguranje d.d.</t>
  </si>
  <si>
    <t>2012.</t>
  </si>
  <si>
    <t>Sarajevo-osiguranje d.d.</t>
  </si>
  <si>
    <t>2013.</t>
  </si>
  <si>
    <t>Lido osiguranje d.d.</t>
  </si>
  <si>
    <t>2014.</t>
  </si>
  <si>
    <t>-</t>
  </si>
  <si>
    <t>Wiener osiguranje a.d. Banja Luka.</t>
  </si>
  <si>
    <t>Koncentracija tržišta osiguranja u BiH za 2012., 2013., 2014. i 2015. godinu</t>
  </si>
  <si>
    <t>Wiener osiguranje a.d.***</t>
  </si>
  <si>
    <t>Osiguranje Garant d.d.****</t>
  </si>
  <si>
    <t>***Društvima za osiguranje Lido osiguranje d.d. Sarajevo i LOK osiguranje d.d. Sarajevo</t>
  </si>
  <si>
    <t>****Jahorina osiguranje a.d. Pale je u 2014. godini promijenilo naziv u</t>
  </si>
  <si>
    <t>2014.*</t>
  </si>
  <si>
    <t>2015.**</t>
  </si>
  <si>
    <t>Wiener osiguranje a.d.****</t>
  </si>
  <si>
    <t>Osiguranje Garant d.d.*****</t>
  </si>
  <si>
    <t xml:space="preserve">***Jahorina osiguranje a.d. Pale je u 2014. godini promijenilo naziv u </t>
  </si>
  <si>
    <t>Lido osiguranje d.d.*****</t>
  </si>
  <si>
    <t>LOK osiguranje d.d.****</t>
  </si>
  <si>
    <t>2015.</t>
  </si>
  <si>
    <t>Prvih pet osiguravatelja</t>
  </si>
  <si>
    <t>Prvih deset osiguravatelja</t>
  </si>
  <si>
    <t>Osiguravajuće društvo</t>
  </si>
  <si>
    <t>Osiguravajuće društvo***</t>
  </si>
  <si>
    <t>Premija (u tisućama KM)</t>
  </si>
  <si>
    <t>*Podatci za 2014. godinu odnose se na razdoblje od 01.01.2014. do 31.12.2014. godine.</t>
  </si>
  <si>
    <t>**Podatci za 2015. godinu odnose se na razdoblje od 01.01.2015. do 31.12.2015. godine.</t>
  </si>
  <si>
    <t xml:space="preserve">****Osiguravajućem društvu LOK osiguranje d.d. Sarajevo je </t>
  </si>
  <si>
    <t>*****Osiguravajućem društvu Lido osiguranje d.d. Sarajevo</t>
  </si>
  <si>
    <t>tijekom 2012. godine oduzeta dozvola za rad.</t>
  </si>
  <si>
    <t>je tijekom 2012. godine oduzeta dozvola za rad.</t>
  </si>
  <si>
    <t>****Osiguranje Garant d.d. Brčko utemeljeno je koncem 2013. godine.</t>
  </si>
  <si>
    <t>*****Osiguranje Garant d.d. Brčko utemeljeno je koncem 2013.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</si>
</sst>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48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0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Bookman Old Style"/>
      <family val="1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5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9" fillId="0" borderId="0"/>
    <xf numFmtId="0" fontId="17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7" fillId="23" borderId="7" applyNumberFormat="0" applyFont="0" applyAlignment="0" applyProtection="0"/>
    <xf numFmtId="0" fontId="19" fillId="20" borderId="8" applyNumberFormat="0" applyAlignment="0" applyProtection="0"/>
    <xf numFmtId="0" fontId="9" fillId="0" borderId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</cellStyleXfs>
  <cellXfs count="147">
    <xf numFmtId="0" fontId="0" fillId="0" borderId="0" xfId="0"/>
    <xf numFmtId="0" fontId="24" fillId="0" borderId="0" xfId="40" applyFont="1"/>
    <xf numFmtId="0" fontId="24" fillId="0" borderId="0" xfId="40" applyFont="1" applyBorder="1" applyAlignment="1"/>
    <xf numFmtId="0" fontId="24" fillId="0" borderId="0" xfId="151" applyFont="1"/>
    <xf numFmtId="1" fontId="24" fillId="0" borderId="0" xfId="151" applyNumberFormat="1" applyFont="1"/>
    <xf numFmtId="0" fontId="26" fillId="0" borderId="0" xfId="151" applyFont="1"/>
    <xf numFmtId="0" fontId="26" fillId="0" borderId="0" xfId="151" applyFont="1" applyAlignment="1">
      <alignment horizontal="left"/>
    </xf>
    <xf numFmtId="3" fontId="26" fillId="0" borderId="0" xfId="151" applyNumberFormat="1" applyFont="1"/>
    <xf numFmtId="0" fontId="26" fillId="0" borderId="0" xfId="151" applyFont="1" applyBorder="1"/>
    <xf numFmtId="0" fontId="29" fillId="0" borderId="0" xfId="151" applyFont="1" applyBorder="1"/>
    <xf numFmtId="3" fontId="24" fillId="0" borderId="0" xfId="151" applyNumberFormat="1" applyFont="1" applyBorder="1"/>
    <xf numFmtId="3" fontId="28" fillId="0" borderId="0" xfId="151" applyNumberFormat="1" applyFont="1" applyBorder="1"/>
    <xf numFmtId="0" fontId="32" fillId="26" borderId="16" xfId="151" applyFont="1" applyFill="1" applyBorder="1" applyAlignment="1">
      <alignment horizontal="right" vertical="center" wrapText="1"/>
    </xf>
    <xf numFmtId="0" fontId="32" fillId="26" borderId="10" xfId="151" applyFont="1" applyFill="1" applyBorder="1" applyAlignment="1">
      <alignment horizontal="center" vertical="center" wrapText="1"/>
    </xf>
    <xf numFmtId="0" fontId="32" fillId="26" borderId="10" xfId="151" applyFont="1" applyFill="1" applyBorder="1" applyAlignment="1">
      <alignment horizontal="center" vertical="center"/>
    </xf>
    <xf numFmtId="0" fontId="32" fillId="26" borderId="15" xfId="151" applyFont="1" applyFill="1" applyBorder="1" applyAlignment="1">
      <alignment horizontal="center" vertical="center"/>
    </xf>
    <xf numFmtId="2" fontId="33" fillId="25" borderId="10" xfId="151" applyNumberFormat="1" applyFont="1" applyFill="1" applyBorder="1" applyAlignment="1">
      <alignment horizontal="right"/>
    </xf>
    <xf numFmtId="0" fontId="32" fillId="26" borderId="16" xfId="151" applyFont="1" applyFill="1" applyBorder="1" applyAlignment="1">
      <alignment horizontal="right" wrapText="1"/>
    </xf>
    <xf numFmtId="1" fontId="31" fillId="24" borderId="10" xfId="151" applyNumberFormat="1" applyFont="1" applyFill="1" applyBorder="1" applyAlignment="1">
      <alignment horizontal="right"/>
    </xf>
    <xf numFmtId="2" fontId="31" fillId="0" borderId="10" xfId="151" applyNumberFormat="1" applyFont="1" applyFill="1" applyBorder="1" applyAlignment="1">
      <alignment horizontal="right"/>
    </xf>
    <xf numFmtId="3" fontId="30" fillId="26" borderId="17" xfId="151" applyNumberFormat="1" applyFont="1" applyFill="1" applyBorder="1" applyAlignment="1">
      <alignment horizontal="right"/>
    </xf>
    <xf numFmtId="1" fontId="30" fillId="26" borderId="17" xfId="151" applyNumberFormat="1" applyFont="1" applyFill="1" applyBorder="1" applyAlignment="1">
      <alignment horizontal="right"/>
    </xf>
    <xf numFmtId="2" fontId="33" fillId="25" borderId="10" xfId="151" applyNumberFormat="1" applyFont="1" applyFill="1" applyBorder="1" applyAlignment="1">
      <alignment horizontal="right" vertical="center"/>
    </xf>
    <xf numFmtId="1" fontId="33" fillId="24" borderId="10" xfId="151" applyNumberFormat="1" applyFont="1" applyFill="1" applyBorder="1" applyAlignment="1">
      <alignment horizontal="right" vertical="center"/>
    </xf>
    <xf numFmtId="2" fontId="33" fillId="0" borderId="10" xfId="151" applyNumberFormat="1" applyFont="1" applyFill="1" applyBorder="1" applyAlignment="1">
      <alignment horizontal="right" vertical="center"/>
    </xf>
    <xf numFmtId="3" fontId="32" fillId="26" borderId="17" xfId="151" applyNumberFormat="1" applyFont="1" applyFill="1" applyBorder="1" applyAlignment="1">
      <alignment horizontal="right" vertical="center"/>
    </xf>
    <xf numFmtId="1" fontId="32" fillId="26" borderId="17" xfId="151" applyNumberFormat="1" applyFont="1" applyFill="1" applyBorder="1" applyAlignment="1">
      <alignment horizontal="right" vertical="center"/>
    </xf>
    <xf numFmtId="0" fontId="34" fillId="0" borderId="0" xfId="40" applyFont="1"/>
    <xf numFmtId="0" fontId="34" fillId="0" borderId="0" xfId="151" applyFont="1"/>
    <xf numFmtId="0" fontId="30" fillId="25" borderId="12" xfId="151" applyFont="1" applyFill="1" applyBorder="1" applyAlignment="1">
      <alignment horizontal="center"/>
    </xf>
    <xf numFmtId="3" fontId="35" fillId="0" borderId="0" xfId="151" applyNumberFormat="1" applyFont="1" applyFill="1" applyBorder="1" applyAlignment="1">
      <alignment horizontal="right" wrapText="1"/>
    </xf>
    <xf numFmtId="0" fontId="36" fillId="0" borderId="0" xfId="0" applyFont="1"/>
    <xf numFmtId="3" fontId="37" fillId="0" borderId="0" xfId="151" applyNumberFormat="1" applyFont="1"/>
    <xf numFmtId="0" fontId="30" fillId="25" borderId="12" xfId="151" applyFont="1" applyFill="1" applyBorder="1" applyAlignment="1">
      <alignment horizontal="center" vertical="center"/>
    </xf>
    <xf numFmtId="0" fontId="30" fillId="25" borderId="13" xfId="151" applyFont="1" applyFill="1" applyBorder="1" applyAlignment="1">
      <alignment horizontal="center" vertical="center"/>
    </xf>
    <xf numFmtId="0" fontId="39" fillId="0" borderId="0" xfId="40" applyFont="1" applyBorder="1" applyAlignment="1"/>
    <xf numFmtId="4" fontId="26" fillId="0" borderId="0" xfId="151" applyNumberFormat="1" applyFont="1"/>
    <xf numFmtId="10" fontId="40" fillId="0" borderId="10" xfId="40" applyNumberFormat="1" applyFont="1" applyBorder="1" applyAlignment="1">
      <alignment horizontal="center"/>
    </xf>
    <xf numFmtId="10" fontId="40" fillId="0" borderId="17" xfId="40" applyNumberFormat="1" applyFont="1" applyBorder="1" applyAlignment="1">
      <alignment horizontal="center"/>
    </xf>
    <xf numFmtId="3" fontId="24" fillId="0" borderId="0" xfId="151" applyNumberFormat="1" applyFont="1"/>
    <xf numFmtId="3" fontId="40" fillId="0" borderId="10" xfId="151" applyNumberFormat="1" applyFont="1" applyBorder="1" applyAlignment="1">
      <alignment horizontal="right" wrapText="1"/>
    </xf>
    <xf numFmtId="3" fontId="40" fillId="0" borderId="10" xfId="151" applyNumberFormat="1" applyFont="1" applyBorder="1" applyAlignment="1">
      <alignment horizontal="right"/>
    </xf>
    <xf numFmtId="3" fontId="40" fillId="0" borderId="10" xfId="151" applyNumberFormat="1" applyFont="1" applyFill="1" applyBorder="1" applyAlignment="1">
      <alignment horizontal="right" wrapText="1"/>
    </xf>
    <xf numFmtId="3" fontId="40" fillId="0" borderId="17" xfId="151" applyNumberFormat="1" applyFont="1" applyBorder="1" applyAlignment="1">
      <alignment horizontal="center"/>
    </xf>
    <xf numFmtId="0" fontId="40" fillId="0" borderId="14" xfId="151" applyFont="1" applyBorder="1" applyAlignment="1">
      <alignment horizontal="left" wrapText="1"/>
    </xf>
    <xf numFmtId="0" fontId="40" fillId="0" borderId="14" xfId="151" applyFont="1" applyBorder="1" applyAlignment="1">
      <alignment horizontal="left"/>
    </xf>
    <xf numFmtId="0" fontId="40" fillId="0" borderId="14" xfId="151" applyFont="1" applyBorder="1" applyAlignment="1">
      <alignment wrapText="1"/>
    </xf>
    <xf numFmtId="10" fontId="40" fillId="0" borderId="10" xfId="151" applyNumberFormat="1" applyFont="1" applyBorder="1" applyAlignment="1">
      <alignment horizontal="center"/>
    </xf>
    <xf numFmtId="0" fontId="40" fillId="24" borderId="14" xfId="151" applyFont="1" applyFill="1" applyBorder="1" applyAlignment="1">
      <alignment horizontal="left"/>
    </xf>
    <xf numFmtId="0" fontId="40" fillId="24" borderId="14" xfId="151" applyFont="1" applyFill="1" applyBorder="1" applyAlignment="1">
      <alignment horizontal="left" wrapText="1"/>
    </xf>
    <xf numFmtId="1" fontId="26" fillId="0" borderId="0" xfId="151" applyNumberFormat="1" applyFont="1"/>
    <xf numFmtId="3" fontId="40" fillId="24" borderId="10" xfId="151" applyNumberFormat="1" applyFont="1" applyFill="1" applyBorder="1" applyAlignment="1">
      <alignment horizontal="right"/>
    </xf>
    <xf numFmtId="3" fontId="40" fillId="24" borderId="10" xfId="151" applyNumberFormat="1" applyFont="1" applyFill="1" applyBorder="1" applyAlignment="1">
      <alignment horizontal="right" wrapText="1"/>
    </xf>
    <xf numFmtId="0" fontId="40" fillId="24" borderId="10" xfId="151" applyFont="1" applyFill="1" applyBorder="1" applyAlignment="1">
      <alignment horizontal="right"/>
    </xf>
    <xf numFmtId="3" fontId="40" fillId="0" borderId="10" xfId="151" applyNumberFormat="1" applyFont="1" applyFill="1" applyBorder="1" applyAlignment="1">
      <alignment horizontal="right"/>
    </xf>
    <xf numFmtId="0" fontId="40" fillId="24" borderId="14" xfId="151" applyFont="1" applyFill="1" applyBorder="1" applyAlignment="1">
      <alignment horizontal="justify" vertical="center"/>
    </xf>
    <xf numFmtId="0" fontId="40" fillId="24" borderId="14" xfId="151" applyFont="1" applyFill="1" applyBorder="1" applyAlignment="1">
      <alignment horizontal="justify" vertical="center" wrapText="1"/>
    </xf>
    <xf numFmtId="0" fontId="40" fillId="24" borderId="14" xfId="151" applyFont="1" applyFill="1" applyBorder="1" applyAlignment="1">
      <alignment horizontal="left" vertical="center"/>
    </xf>
    <xf numFmtId="3" fontId="40" fillId="24" borderId="10" xfId="151" applyNumberFormat="1" applyFont="1" applyFill="1" applyBorder="1" applyAlignment="1">
      <alignment horizontal="right" vertical="center"/>
    </xf>
    <xf numFmtId="3" fontId="40" fillId="24" borderId="10" xfId="151" applyNumberFormat="1" applyFont="1" applyFill="1" applyBorder="1" applyAlignment="1">
      <alignment horizontal="right" vertical="center" wrapText="1"/>
    </xf>
    <xf numFmtId="3" fontId="41" fillId="0" borderId="0" xfId="151" applyNumberFormat="1" applyFont="1"/>
    <xf numFmtId="3" fontId="43" fillId="0" borderId="0" xfId="151" applyNumberFormat="1" applyFont="1"/>
    <xf numFmtId="0" fontId="42" fillId="24" borderId="14" xfId="151" applyFont="1" applyFill="1" applyBorder="1" applyAlignment="1">
      <alignment horizontal="left" wrapText="1"/>
    </xf>
    <xf numFmtId="4" fontId="0" fillId="0" borderId="0" xfId="0" applyNumberFormat="1" applyBorder="1"/>
    <xf numFmtId="4" fontId="41" fillId="0" borderId="0" xfId="151" applyNumberFormat="1" applyFont="1"/>
    <xf numFmtId="0" fontId="42" fillId="24" borderId="14" xfId="151" applyFont="1" applyFill="1" applyBorder="1" applyAlignment="1">
      <alignment horizontal="justify" vertical="center"/>
    </xf>
    <xf numFmtId="0" fontId="40" fillId="24" borderId="23" xfId="151" applyFont="1" applyFill="1" applyBorder="1" applyAlignment="1">
      <alignment horizontal="justify" vertical="center"/>
    </xf>
    <xf numFmtId="0" fontId="40" fillId="24" borderId="24" xfId="151" applyFont="1" applyFill="1" applyBorder="1" applyAlignment="1">
      <alignment horizontal="right" vertical="center"/>
    </xf>
    <xf numFmtId="2" fontId="33" fillId="0" borderId="24" xfId="151" applyNumberFormat="1" applyFont="1" applyFill="1" applyBorder="1" applyAlignment="1">
      <alignment horizontal="right" vertical="center"/>
    </xf>
    <xf numFmtId="1" fontId="33" fillId="24" borderId="24" xfId="151" applyNumberFormat="1" applyFont="1" applyFill="1" applyBorder="1" applyAlignment="1">
      <alignment horizontal="right" vertical="center"/>
    </xf>
    <xf numFmtId="3" fontId="40" fillId="24" borderId="24" xfId="151" applyNumberFormat="1" applyFont="1" applyFill="1" applyBorder="1" applyAlignment="1">
      <alignment horizontal="right" vertical="center"/>
    </xf>
    <xf numFmtId="10" fontId="40" fillId="0" borderId="15" xfId="151" applyNumberFormat="1" applyFont="1" applyBorder="1" applyAlignment="1">
      <alignment horizontal="center"/>
    </xf>
    <xf numFmtId="3" fontId="40" fillId="0" borderId="18" xfId="151" applyNumberFormat="1" applyFont="1" applyBorder="1" applyAlignment="1">
      <alignment horizontal="center"/>
    </xf>
    <xf numFmtId="4" fontId="9" fillId="0" borderId="0" xfId="0" applyNumberFormat="1" applyFont="1"/>
    <xf numFmtId="3" fontId="9" fillId="0" borderId="0" xfId="0" applyNumberFormat="1" applyFont="1"/>
    <xf numFmtId="3" fontId="30" fillId="26" borderId="17" xfId="151" applyNumberFormat="1" applyFont="1" applyFill="1" applyBorder="1" applyAlignment="1">
      <alignment horizontal="right" vertical="center"/>
    </xf>
    <xf numFmtId="1" fontId="40" fillId="24" borderId="10" xfId="151" applyNumberFormat="1" applyFont="1" applyFill="1" applyBorder="1" applyAlignment="1">
      <alignment horizontal="right" vertical="center"/>
    </xf>
    <xf numFmtId="0" fontId="44" fillId="25" borderId="11" xfId="40" applyFont="1" applyFill="1" applyBorder="1" applyAlignment="1">
      <alignment horizontal="center" vertical="center"/>
    </xf>
    <xf numFmtId="0" fontId="44" fillId="25" borderId="12" xfId="40" applyFont="1" applyFill="1" applyBorder="1" applyAlignment="1">
      <alignment horizontal="center" vertical="center"/>
    </xf>
    <xf numFmtId="0" fontId="44" fillId="25" borderId="13" xfId="40" applyFont="1" applyFill="1" applyBorder="1" applyAlignment="1">
      <alignment horizontal="center" vertical="center"/>
    </xf>
    <xf numFmtId="0" fontId="40" fillId="0" borderId="14" xfId="40" applyFont="1" applyBorder="1"/>
    <xf numFmtId="0" fontId="40" fillId="0" borderId="14" xfId="40" applyFont="1" applyBorder="1" applyAlignment="1">
      <alignment horizontal="left"/>
    </xf>
    <xf numFmtId="0" fontId="40" fillId="0" borderId="16" xfId="40" applyFont="1" applyBorder="1" applyAlignment="1">
      <alignment horizontal="left"/>
    </xf>
    <xf numFmtId="0" fontId="44" fillId="25" borderId="12" xfId="151" applyFont="1" applyFill="1" applyBorder="1" applyAlignment="1">
      <alignment horizontal="center"/>
    </xf>
    <xf numFmtId="0" fontId="44" fillId="25" borderId="13" xfId="151" applyFont="1" applyFill="1" applyBorder="1" applyAlignment="1">
      <alignment horizontal="center"/>
    </xf>
    <xf numFmtId="0" fontId="44" fillId="26" borderId="10" xfId="151" applyFont="1" applyFill="1" applyBorder="1" applyAlignment="1">
      <alignment horizontal="center" vertical="center" wrapText="1"/>
    </xf>
    <xf numFmtId="0" fontId="44" fillId="26" borderId="10" xfId="151" applyFont="1" applyFill="1" applyBorder="1" applyAlignment="1">
      <alignment horizontal="center" vertical="center"/>
    </xf>
    <xf numFmtId="0" fontId="44" fillId="26" borderId="15" xfId="151" applyFont="1" applyFill="1" applyBorder="1" applyAlignment="1">
      <alignment horizontal="center" vertical="center"/>
    </xf>
    <xf numFmtId="2" fontId="40" fillId="25" borderId="10" xfId="151" applyNumberFormat="1" applyFont="1" applyFill="1" applyBorder="1" applyAlignment="1">
      <alignment horizontal="right"/>
    </xf>
    <xf numFmtId="1" fontId="40" fillId="0" borderId="10" xfId="151" applyNumberFormat="1" applyFont="1" applyBorder="1" applyAlignment="1">
      <alignment horizontal="right"/>
    </xf>
    <xf numFmtId="1" fontId="40" fillId="0" borderId="15" xfId="151" applyNumberFormat="1" applyFont="1" applyBorder="1" applyAlignment="1">
      <alignment horizontal="right"/>
    </xf>
    <xf numFmtId="2" fontId="40" fillId="0" borderId="10" xfId="151" applyNumberFormat="1" applyFont="1" applyFill="1" applyBorder="1" applyAlignment="1">
      <alignment horizontal="right"/>
    </xf>
    <xf numFmtId="0" fontId="44" fillId="26" borderId="16" xfId="151" applyFont="1" applyFill="1" applyBorder="1" applyAlignment="1">
      <alignment horizontal="right" wrapText="1"/>
    </xf>
    <xf numFmtId="3" fontId="44" fillId="26" borderId="17" xfId="151" applyNumberFormat="1" applyFont="1" applyFill="1" applyBorder="1" applyAlignment="1">
      <alignment horizontal="right"/>
    </xf>
    <xf numFmtId="1" fontId="44" fillId="26" borderId="17" xfId="151" applyNumberFormat="1" applyFont="1" applyFill="1" applyBorder="1" applyAlignment="1">
      <alignment horizontal="right"/>
    </xf>
    <xf numFmtId="3" fontId="44" fillId="26" borderId="18" xfId="151" applyNumberFormat="1" applyFont="1" applyFill="1" applyBorder="1" applyAlignment="1">
      <alignment horizontal="right" vertical="center"/>
    </xf>
    <xf numFmtId="1" fontId="40" fillId="24" borderId="10" xfId="151" applyNumberFormat="1" applyFont="1" applyFill="1" applyBorder="1" applyAlignment="1">
      <alignment horizontal="right"/>
    </xf>
    <xf numFmtId="1" fontId="40" fillId="24" borderId="15" xfId="151" applyNumberFormat="1" applyFont="1" applyFill="1" applyBorder="1" applyAlignment="1">
      <alignment horizontal="right"/>
    </xf>
    <xf numFmtId="1" fontId="44" fillId="26" borderId="18" xfId="151" applyNumberFormat="1" applyFont="1" applyFill="1" applyBorder="1" applyAlignment="1">
      <alignment horizontal="right"/>
    </xf>
    <xf numFmtId="2" fontId="40" fillId="25" borderId="10" xfId="151" applyNumberFormat="1" applyFont="1" applyFill="1" applyBorder="1" applyAlignment="1">
      <alignment horizontal="right" vertical="center"/>
    </xf>
    <xf numFmtId="1" fontId="40" fillId="24" borderId="15" xfId="151" applyNumberFormat="1" applyFont="1" applyFill="1" applyBorder="1" applyAlignment="1">
      <alignment horizontal="right" vertical="center"/>
    </xf>
    <xf numFmtId="2" fontId="40" fillId="0" borderId="10" xfId="151" applyNumberFormat="1" applyFont="1" applyFill="1" applyBorder="1" applyAlignment="1">
      <alignment horizontal="right" vertical="center"/>
    </xf>
    <xf numFmtId="2" fontId="40" fillId="27" borderId="10" xfId="151" applyNumberFormat="1" applyFont="1" applyFill="1" applyBorder="1" applyAlignment="1">
      <alignment horizontal="right" vertical="center"/>
    </xf>
    <xf numFmtId="2" fontId="40" fillId="0" borderId="24" xfId="151" applyNumberFormat="1" applyFont="1" applyFill="1" applyBorder="1" applyAlignment="1">
      <alignment horizontal="right" vertical="center"/>
    </xf>
    <xf numFmtId="1" fontId="40" fillId="24" borderId="24" xfId="151" applyNumberFormat="1" applyFont="1" applyFill="1" applyBorder="1" applyAlignment="1">
      <alignment horizontal="right" vertical="center"/>
    </xf>
    <xf numFmtId="3" fontId="44" fillId="26" borderId="17" xfId="151" applyNumberFormat="1" applyFont="1" applyFill="1" applyBorder="1" applyAlignment="1">
      <alignment horizontal="right" vertical="center"/>
    </xf>
    <xf numFmtId="0" fontId="44" fillId="26" borderId="17" xfId="151" applyFont="1" applyFill="1" applyBorder="1" applyAlignment="1">
      <alignment horizontal="right" vertical="center"/>
    </xf>
    <xf numFmtId="1" fontId="44" fillId="26" borderId="17" xfId="151" applyNumberFormat="1" applyFont="1" applyFill="1" applyBorder="1" applyAlignment="1">
      <alignment horizontal="right" vertical="center"/>
    </xf>
    <xf numFmtId="1" fontId="44" fillId="26" borderId="18" xfId="151" applyNumberFormat="1" applyFont="1" applyFill="1" applyBorder="1" applyAlignment="1">
      <alignment horizontal="right" vertical="center"/>
    </xf>
    <xf numFmtId="3" fontId="44" fillId="26" borderId="25" xfId="151" applyNumberFormat="1" applyFont="1" applyFill="1" applyBorder="1" applyAlignment="1">
      <alignment horizontal="right"/>
    </xf>
    <xf numFmtId="0" fontId="46" fillId="0" borderId="0" xfId="151" applyFont="1"/>
    <xf numFmtId="0" fontId="47" fillId="0" borderId="0" xfId="151" applyFont="1"/>
    <xf numFmtId="3" fontId="44" fillId="0" borderId="0" xfId="151" applyNumberFormat="1" applyFont="1" applyFill="1" applyBorder="1" applyAlignment="1">
      <alignment horizontal="right" wrapText="1"/>
    </xf>
    <xf numFmtId="3" fontId="44" fillId="0" borderId="0" xfId="151" applyNumberFormat="1" applyFont="1" applyFill="1" applyBorder="1" applyAlignment="1">
      <alignment horizontal="right" vertical="center"/>
    </xf>
    <xf numFmtId="10" fontId="40" fillId="0" borderId="15" xfId="40" applyNumberFormat="1" applyFont="1" applyBorder="1" applyAlignment="1">
      <alignment horizontal="center"/>
    </xf>
    <xf numFmtId="10" fontId="40" fillId="0" borderId="18" xfId="40" applyNumberFormat="1" applyFont="1" applyBorder="1" applyAlignment="1">
      <alignment horizontal="center"/>
    </xf>
    <xf numFmtId="0" fontId="26" fillId="0" borderId="0" xfId="151" applyFont="1" applyFill="1" applyBorder="1"/>
    <xf numFmtId="0" fontId="45" fillId="0" borderId="0" xfId="204" applyFont="1" applyFill="1" applyBorder="1" applyAlignment="1">
      <alignment horizontal="right"/>
    </xf>
    <xf numFmtId="4" fontId="24" fillId="0" borderId="0" xfId="151" applyNumberFormat="1" applyFont="1" applyFill="1" applyBorder="1"/>
    <xf numFmtId="4" fontId="41" fillId="0" borderId="0" xfId="151" applyNumberFormat="1" applyFont="1" applyFill="1" applyBorder="1"/>
    <xf numFmtId="0" fontId="24" fillId="0" borderId="0" xfId="151" applyFont="1" applyFill="1" applyBorder="1"/>
    <xf numFmtId="4" fontId="26" fillId="0" borderId="0" xfId="151" applyNumberFormat="1" applyFont="1" applyFill="1" applyBorder="1"/>
    <xf numFmtId="0" fontId="25" fillId="0" borderId="19" xfId="40" applyFont="1" applyBorder="1" applyAlignment="1">
      <alignment horizontal="center"/>
    </xf>
    <xf numFmtId="0" fontId="25" fillId="0" borderId="20" xfId="40" applyFont="1" applyBorder="1" applyAlignment="1">
      <alignment horizontal="center"/>
    </xf>
    <xf numFmtId="0" fontId="25" fillId="0" borderId="21" xfId="40" applyFont="1" applyBorder="1" applyAlignment="1">
      <alignment horizontal="center"/>
    </xf>
    <xf numFmtId="0" fontId="25" fillId="0" borderId="19" xfId="151" applyFont="1" applyBorder="1" applyAlignment="1">
      <alignment horizontal="center"/>
    </xf>
    <xf numFmtId="0" fontId="25" fillId="0" borderId="20" xfId="151" applyFont="1" applyBorder="1" applyAlignment="1">
      <alignment horizontal="center"/>
    </xf>
    <xf numFmtId="0" fontId="25" fillId="0" borderId="21" xfId="151" applyFont="1" applyBorder="1" applyAlignment="1">
      <alignment horizontal="center"/>
    </xf>
    <xf numFmtId="0" fontId="44" fillId="25" borderId="12" xfId="151" applyFont="1" applyFill="1" applyBorder="1" applyAlignment="1">
      <alignment horizontal="center" vertical="center"/>
    </xf>
    <xf numFmtId="0" fontId="44" fillId="25" borderId="13" xfId="151" applyFont="1" applyFill="1" applyBorder="1" applyAlignment="1">
      <alignment horizontal="center" vertical="center"/>
    </xf>
    <xf numFmtId="0" fontId="31" fillId="25" borderId="11" xfId="151" applyFont="1" applyFill="1" applyBorder="1" applyAlignment="1">
      <alignment horizontal="center"/>
    </xf>
    <xf numFmtId="0" fontId="31" fillId="25" borderId="12" xfId="151" applyFont="1" applyFill="1" applyBorder="1" applyAlignment="1">
      <alignment horizontal="center"/>
    </xf>
    <xf numFmtId="0" fontId="30" fillId="0" borderId="16" xfId="151" applyFont="1" applyBorder="1" applyAlignment="1">
      <alignment horizontal="left"/>
    </xf>
    <xf numFmtId="0" fontId="30" fillId="0" borderId="17" xfId="151" applyFont="1" applyBorder="1" applyAlignment="1">
      <alignment horizontal="left"/>
    </xf>
    <xf numFmtId="0" fontId="44" fillId="25" borderId="11" xfId="151" applyFont="1" applyFill="1" applyBorder="1" applyAlignment="1">
      <alignment horizontal="center" vertical="center" wrapText="1"/>
    </xf>
    <xf numFmtId="0" fontId="44" fillId="25" borderId="14" xfId="151" applyFont="1" applyFill="1" applyBorder="1" applyAlignment="1">
      <alignment horizontal="center" vertical="center" wrapText="1"/>
    </xf>
    <xf numFmtId="0" fontId="30" fillId="0" borderId="22" xfId="151" applyFont="1" applyBorder="1" applyAlignment="1">
      <alignment horizontal="left"/>
    </xf>
    <xf numFmtId="0" fontId="30" fillId="0" borderId="21" xfId="151" applyFont="1" applyBorder="1" applyAlignment="1">
      <alignment horizontal="left"/>
    </xf>
    <xf numFmtId="0" fontId="27" fillId="0" borderId="19" xfId="151" applyFont="1" applyBorder="1" applyAlignment="1">
      <alignment horizontal="center"/>
    </xf>
    <xf numFmtId="0" fontId="27" fillId="0" borderId="20" xfId="151" applyFont="1" applyBorder="1" applyAlignment="1">
      <alignment horizontal="center"/>
    </xf>
    <xf numFmtId="0" fontId="27" fillId="0" borderId="21" xfId="151" applyFont="1" applyBorder="1" applyAlignment="1">
      <alignment horizontal="center"/>
    </xf>
    <xf numFmtId="0" fontId="32" fillId="25" borderId="12" xfId="151" applyFont="1" applyFill="1" applyBorder="1" applyAlignment="1">
      <alignment horizontal="center" vertical="center"/>
    </xf>
    <xf numFmtId="0" fontId="32" fillId="25" borderId="13" xfId="151" applyFont="1" applyFill="1" applyBorder="1" applyAlignment="1">
      <alignment horizontal="center" vertical="center"/>
    </xf>
    <xf numFmtId="0" fontId="32" fillId="25" borderId="11" xfId="151" applyFont="1" applyFill="1" applyBorder="1" applyAlignment="1">
      <alignment horizontal="center" vertical="center" wrapText="1"/>
    </xf>
    <xf numFmtId="0" fontId="32" fillId="25" borderId="14" xfId="151" applyFont="1" applyFill="1" applyBorder="1" applyAlignment="1">
      <alignment horizontal="center" vertical="center" wrapText="1"/>
    </xf>
    <xf numFmtId="0" fontId="30" fillId="0" borderId="14" xfId="151" applyFont="1" applyBorder="1" applyAlignment="1">
      <alignment horizontal="left"/>
    </xf>
    <xf numFmtId="0" fontId="30" fillId="0" borderId="10" xfId="151" applyFont="1" applyBorder="1" applyAlignment="1">
      <alignment horizontal="left"/>
    </xf>
  </cellXfs>
  <cellStyles count="21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5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ální_Rezervy_prez_1_12_03" xfId="197"/>
    <cellStyle name="Normalno 2" xfId="206"/>
    <cellStyle name="Normalno 3" xfId="207"/>
    <cellStyle name="Note" xfId="198" builtinId="10" customBuiltin="1"/>
    <cellStyle name="Obično 2" xfId="204"/>
    <cellStyle name="Obično 2 2" xfId="208"/>
    <cellStyle name="Obično 3" xfId="209"/>
    <cellStyle name="Obično 4" xfId="210"/>
    <cellStyle name="Obično_12a Izvjestaji drustava za osiguranje" xfId="211"/>
    <cellStyle name="Output" xfId="199" builtinId="21" customBuiltin="1"/>
    <cellStyle name="Standard_0103_s Versicherung" xfId="200"/>
    <cellStyle name="Title" xfId="201" builtinId="15" customBuiltin="1"/>
    <cellStyle name="Total" xfId="202" builtinId="25" customBuiltin="1"/>
    <cellStyle name="Warning Text" xfId="203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787372193893133E-2"/>
          <c:y val="1.7605633802816902E-2"/>
          <c:w val="0.63120676668946474"/>
          <c:h val="0.866197183098600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Udio!$B$5</c:f>
              <c:strCache>
                <c:ptCount val="1"/>
                <c:pt idx="0">
                  <c:v>Prvih pet osiguravatelja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</c:strCache>
            </c:strRef>
          </c:cat>
          <c:val>
            <c:numRef>
              <c:f>Udio!$C$5:$F$5</c:f>
              <c:numCache>
                <c:formatCode>0.00%</c:formatCode>
                <c:ptCount val="4"/>
                <c:pt idx="0">
                  <c:v>0.45265216480212045</c:v>
                </c:pt>
                <c:pt idx="1">
                  <c:v>0.46236203992082509</c:v>
                </c:pt>
                <c:pt idx="2">
                  <c:v>0.44764742832202731</c:v>
                </c:pt>
                <c:pt idx="3">
                  <c:v>0.41915055076653251</c:v>
                </c:pt>
              </c:numCache>
            </c:numRef>
          </c:val>
        </c:ser>
        <c:ser>
          <c:idx val="1"/>
          <c:order val="1"/>
          <c:tx>
            <c:strRef>
              <c:f>Udio!$B$6</c:f>
              <c:strCache>
                <c:ptCount val="1"/>
                <c:pt idx="0">
                  <c:v>Prvih deset osiguravatelja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</c:strCache>
            </c:strRef>
          </c:cat>
          <c:val>
            <c:numRef>
              <c:f>Udio!$C$6:$F$6</c:f>
              <c:numCache>
                <c:formatCode>0.00%</c:formatCode>
                <c:ptCount val="4"/>
                <c:pt idx="0">
                  <c:v>0.71664408060870344</c:v>
                </c:pt>
                <c:pt idx="1">
                  <c:v>0.7092075914048902</c:v>
                </c:pt>
                <c:pt idx="2">
                  <c:v>0.69882954137424436</c:v>
                </c:pt>
                <c:pt idx="3">
                  <c:v>0.68436100941325761</c:v>
                </c:pt>
              </c:numCache>
            </c:numRef>
          </c:val>
        </c:ser>
        <c:ser>
          <c:idx val="2"/>
          <c:order val="2"/>
          <c:tx>
            <c:strRef>
              <c:f>Udio!$B$7</c:f>
              <c:strCache>
                <c:ptCount val="1"/>
                <c:pt idx="0">
                  <c:v>Dominantno društvo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</c:strCache>
            </c:strRef>
          </c:cat>
          <c:val>
            <c:numRef>
              <c:f>Udio!$C$7:$F$7</c:f>
              <c:numCache>
                <c:formatCode>0.00%</c:formatCode>
                <c:ptCount val="4"/>
                <c:pt idx="0">
                  <c:v>0.12780251496116019</c:v>
                </c:pt>
                <c:pt idx="1">
                  <c:v>0.12288848641390204</c:v>
                </c:pt>
                <c:pt idx="2">
                  <c:v>0.11477852069048884</c:v>
                </c:pt>
                <c:pt idx="3">
                  <c:v>0.10124534902977037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489408"/>
        <c:axId val="111490944"/>
        <c:axId val="0"/>
      </c:bar3DChart>
      <c:catAx>
        <c:axId val="11148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11490944"/>
        <c:crosses val="autoZero"/>
        <c:auto val="1"/>
        <c:lblAlgn val="ctr"/>
        <c:lblOffset val="100"/>
        <c:noMultiLvlLbl val="0"/>
      </c:catAx>
      <c:valAx>
        <c:axId val="11149094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11489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08564204721472"/>
          <c:y val="0.14436612896024614"/>
          <c:w val="0.24172632676234795"/>
          <c:h val="0.6079812206572822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699" l="0.70000000000000062" r="0.70000000000000062" t="0.750000000000006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893391720517"/>
          <c:y val="6.7415976913539524E-2"/>
          <c:w val="0.74801732239219565"/>
          <c:h val="0.67041443708464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Životno'!$B$21:$C$21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Životno'!$D$20:$G$20</c:f>
              <c:strCache>
                <c:ptCount val="4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</c:strCache>
            </c:strRef>
          </c:cat>
          <c:val>
            <c:numRef>
              <c:f>'HHI - Životno'!$D$21:$G$21</c:f>
              <c:numCache>
                <c:formatCode>0.00%</c:formatCode>
                <c:ptCount val="4"/>
                <c:pt idx="0">
                  <c:v>0.79938569005801807</c:v>
                </c:pt>
                <c:pt idx="1">
                  <c:v>0.80800287454427933</c:v>
                </c:pt>
                <c:pt idx="2">
                  <c:v>0.79455200985426133</c:v>
                </c:pt>
                <c:pt idx="3">
                  <c:v>0.78082095262660145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34848"/>
        <c:axId val="111536384"/>
      </c:barChart>
      <c:lineChart>
        <c:grouping val="standard"/>
        <c:varyColors val="0"/>
        <c:ser>
          <c:idx val="1"/>
          <c:order val="1"/>
          <c:tx>
            <c:strRef>
              <c:f>'HHI - Životno'!$B$22:$C$22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5.4075220820677034E-2"/>
                  <c:y val="-7.0189709675852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523648207398431E-2"/>
                  <c:y val="-6.9351880652753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114898136481594E-2"/>
                  <c:y val="-5.684782008900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833101436552652E-2"/>
                  <c:y val="-6.0040268447786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Životno'!$D$20:$G$20</c:f>
              <c:strCache>
                <c:ptCount val="4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</c:strCache>
            </c:strRef>
          </c:cat>
          <c:val>
            <c:numRef>
              <c:f>'HHI - Životno'!$D$22:$G$22</c:f>
              <c:numCache>
                <c:formatCode>#,##0</c:formatCode>
                <c:ptCount val="4"/>
                <c:pt idx="0">
                  <c:v>1789.7351681293824</c:v>
                </c:pt>
                <c:pt idx="1">
                  <c:v>1833.9488816210205</c:v>
                </c:pt>
                <c:pt idx="2">
                  <c:v>1796.2716200991242</c:v>
                </c:pt>
                <c:pt idx="3">
                  <c:v>1723.2090691420201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865280"/>
        <c:axId val="112866816"/>
      </c:lineChart>
      <c:catAx>
        <c:axId val="1115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11536384"/>
        <c:crosses val="autoZero"/>
        <c:auto val="1"/>
        <c:lblAlgn val="ctr"/>
        <c:lblOffset val="100"/>
        <c:noMultiLvlLbl val="0"/>
      </c:catAx>
      <c:valAx>
        <c:axId val="111536384"/>
        <c:scaling>
          <c:orientation val="minMax"/>
          <c:max val="0.95000000000000062"/>
          <c:min val="0.7000000000000006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11534848"/>
        <c:crosses val="autoZero"/>
        <c:crossBetween val="between"/>
      </c:valAx>
      <c:catAx>
        <c:axId val="112865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2866816"/>
        <c:crosses val="autoZero"/>
        <c:auto val="1"/>
        <c:lblAlgn val="ctr"/>
        <c:lblOffset val="100"/>
        <c:noMultiLvlLbl val="0"/>
      </c:catAx>
      <c:valAx>
        <c:axId val="112866816"/>
        <c:scaling>
          <c:orientation val="minMax"/>
          <c:max val="1900"/>
          <c:min val="15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12865280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3.5714354915277226E-2"/>
          <c:y val="0.89887969218053343"/>
          <c:w val="0.88889061122468505"/>
          <c:h val="6.741597691353952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88" l="0.70000000000000062" r="0.70000000000000062" t="0.750000000000009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37148217636745E-2"/>
          <c:y val="6.0000195313135794E-2"/>
          <c:w val="0.75984990619138226"/>
          <c:h val="0.686668901916998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Neživotno'!$B$35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Neživotno'!$D$34:$G$34</c:f>
              <c:strCache>
                <c:ptCount val="4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</c:strCache>
            </c:strRef>
          </c:cat>
          <c:val>
            <c:numRef>
              <c:f>'HHI - Neživotno'!$D$35:$G$35</c:f>
              <c:numCache>
                <c:formatCode>0.00%</c:formatCode>
                <c:ptCount val="4"/>
                <c:pt idx="0">
                  <c:v>0.41911138717981927</c:v>
                </c:pt>
                <c:pt idx="1">
                  <c:v>0.4274323215909841</c:v>
                </c:pt>
                <c:pt idx="2">
                  <c:v>0.41896027139035014</c:v>
                </c:pt>
                <c:pt idx="3">
                  <c:v>0.38406686859019179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959488"/>
        <c:axId val="112961024"/>
      </c:barChart>
      <c:lineChart>
        <c:grouping val="stacked"/>
        <c:varyColors val="0"/>
        <c:ser>
          <c:idx val="1"/>
          <c:order val="1"/>
          <c:tx>
            <c:strRef>
              <c:f>'HHI - Neživotno'!$B$36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061746268583252E-2"/>
                  <c:y val="-4.4078056561505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530740177178175E-2"/>
                  <c:y val="-4.7384445996070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999931059274718E-2"/>
                  <c:y val="-4.1670097106370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221270183628541E-2"/>
                  <c:y val="-4.2071331437542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Neživotno'!$D$34:$G$34</c:f>
              <c:strCache>
                <c:ptCount val="4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</c:strCache>
            </c:strRef>
          </c:cat>
          <c:val>
            <c:numRef>
              <c:f>'HHI - Neživotno'!$D$36:$G$36</c:f>
              <c:numCache>
                <c:formatCode>#,##0</c:formatCode>
                <c:ptCount val="4"/>
                <c:pt idx="0">
                  <c:v>722.94424020402721</c:v>
                </c:pt>
                <c:pt idx="1">
                  <c:v>711.67790194787699</c:v>
                </c:pt>
                <c:pt idx="2">
                  <c:v>681.88080798303815</c:v>
                </c:pt>
                <c:pt idx="3">
                  <c:v>649.38563113742589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62560"/>
        <c:axId val="112964352"/>
      </c:lineChart>
      <c:catAx>
        <c:axId val="11295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12961024"/>
        <c:crossesAt val="0.35000000000000031"/>
        <c:auto val="1"/>
        <c:lblAlgn val="ctr"/>
        <c:lblOffset val="100"/>
        <c:noMultiLvlLbl val="0"/>
      </c:catAx>
      <c:valAx>
        <c:axId val="112961024"/>
        <c:scaling>
          <c:orientation val="minMax"/>
          <c:max val="0.55000000000000004"/>
          <c:min val="0.35000000000000003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12959488"/>
        <c:crosses val="autoZero"/>
        <c:crossBetween val="between"/>
      </c:valAx>
      <c:catAx>
        <c:axId val="112962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2964352"/>
        <c:crosses val="autoZero"/>
        <c:auto val="1"/>
        <c:lblAlgn val="ctr"/>
        <c:lblOffset val="100"/>
        <c:noMultiLvlLbl val="0"/>
      </c:catAx>
      <c:valAx>
        <c:axId val="112964352"/>
        <c:scaling>
          <c:orientation val="minMax"/>
          <c:max val="800"/>
          <c:min val="5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12962560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7.3170731707317069E-2"/>
          <c:y val="0.90000292969703088"/>
          <c:w val="0.82363977485928763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33" l="0.70000000000000062" r="0.70000000000000062" t="0.750000000000009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8795623535685"/>
          <c:y val="6.0000195313135794E-2"/>
          <c:w val="0.78878576663420585"/>
          <c:h val="0.74000240886200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Ukupno'!$B$36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Ukupno'!$D$35:$G$35</c:f>
              <c:strCache>
                <c:ptCount val="4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</c:strCache>
            </c:strRef>
          </c:cat>
          <c:val>
            <c:numRef>
              <c:f>'HHI - Ukupno'!$D$36:$G$36</c:f>
              <c:numCache>
                <c:formatCode>0.00%</c:formatCode>
                <c:ptCount val="4"/>
                <c:pt idx="0">
                  <c:v>0.38058227303103448</c:v>
                </c:pt>
                <c:pt idx="1">
                  <c:v>0.38569681846827258</c:v>
                </c:pt>
                <c:pt idx="2">
                  <c:v>0.370229345932795</c:v>
                </c:pt>
                <c:pt idx="3">
                  <c:v>0.35896933132972558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085824"/>
        <c:axId val="113091712"/>
      </c:barChart>
      <c:lineChart>
        <c:grouping val="stacked"/>
        <c:varyColors val="0"/>
        <c:ser>
          <c:idx val="1"/>
          <c:order val="1"/>
          <c:tx>
            <c:strRef>
              <c:f>'HHI - Ukupno'!$B$37:$C$37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539012100879822E-2"/>
                  <c:y val="-4.2269677946382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651261512549428E-2"/>
                  <c:y val="-4.280158163540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16599362596167E-2"/>
                  <c:y val="-4.385843867619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174651696472263E-2"/>
                  <c:y val="-3.1935635216259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Ukupno'!$D$35:$G$35</c:f>
              <c:strCache>
                <c:ptCount val="4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</c:strCache>
            </c:strRef>
          </c:cat>
          <c:val>
            <c:numRef>
              <c:f>'HHI - Ukupno'!$D$37:$G$37</c:f>
              <c:numCache>
                <c:formatCode>#,##0</c:formatCode>
                <c:ptCount val="4"/>
                <c:pt idx="0">
                  <c:v>640.61210821122734</c:v>
                </c:pt>
                <c:pt idx="1">
                  <c:v>636.77209866955877</c:v>
                </c:pt>
                <c:pt idx="2">
                  <c:v>610.776093373771</c:v>
                </c:pt>
                <c:pt idx="3">
                  <c:v>588.01684179836332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93248"/>
        <c:axId val="113103232"/>
      </c:lineChart>
      <c:catAx>
        <c:axId val="1130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13091712"/>
        <c:crossesAt val="0.30000000000000032"/>
        <c:auto val="1"/>
        <c:lblAlgn val="ctr"/>
        <c:lblOffset val="100"/>
        <c:noMultiLvlLbl val="0"/>
      </c:catAx>
      <c:valAx>
        <c:axId val="113091712"/>
        <c:scaling>
          <c:orientation val="minMax"/>
          <c:max val="0.5"/>
          <c:min val="0.3000000000000003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13085824"/>
        <c:crosses val="autoZero"/>
        <c:crossBetween val="between"/>
        <c:majorUnit val="0.05"/>
        <c:minorUnit val="1.0000000000000005E-2"/>
      </c:valAx>
      <c:catAx>
        <c:axId val="113093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3103232"/>
        <c:crossesAt val="500"/>
        <c:auto val="1"/>
        <c:lblAlgn val="ctr"/>
        <c:lblOffset val="100"/>
        <c:noMultiLvlLbl val="0"/>
      </c:catAx>
      <c:valAx>
        <c:axId val="113103232"/>
        <c:scaling>
          <c:orientation val="minMax"/>
          <c:max val="700"/>
          <c:min val="45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13093248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4.1121532857707407E-2"/>
          <c:y val="0.91000296224922606"/>
          <c:w val="0.89532791994734906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33" l="0.70000000000000062" r="0.70000000000000062" t="0.750000000000009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9</xdr:row>
      <xdr:rowOff>38100</xdr:rowOff>
    </xdr:from>
    <xdr:to>
      <xdr:col>5</xdr:col>
      <xdr:colOff>702687</xdr:colOff>
      <xdr:row>24</xdr:row>
      <xdr:rowOff>47625</xdr:rowOff>
    </xdr:to>
    <xdr:graphicFrame macro="">
      <xdr:nvGraphicFramePr>
        <xdr:cNvPr id="1026" name="Chart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24</xdr:row>
      <xdr:rowOff>19050</xdr:rowOff>
    </xdr:from>
    <xdr:to>
      <xdr:col>6</xdr:col>
      <xdr:colOff>19051</xdr:colOff>
      <xdr:row>42</xdr:row>
      <xdr:rowOff>152400</xdr:rowOff>
    </xdr:to>
    <xdr:graphicFrame macro="">
      <xdr:nvGraphicFramePr>
        <xdr:cNvPr id="4097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38</xdr:row>
      <xdr:rowOff>19050</xdr:rowOff>
    </xdr:from>
    <xdr:to>
      <xdr:col>6</xdr:col>
      <xdr:colOff>133351</xdr:colOff>
      <xdr:row>55</xdr:row>
      <xdr:rowOff>123825</xdr:rowOff>
    </xdr:to>
    <xdr:graphicFrame macro="">
      <xdr:nvGraphicFramePr>
        <xdr:cNvPr id="6145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39</xdr:row>
      <xdr:rowOff>19050</xdr:rowOff>
    </xdr:from>
    <xdr:to>
      <xdr:col>6</xdr:col>
      <xdr:colOff>114300</xdr:colOff>
      <xdr:row>56</xdr:row>
      <xdr:rowOff>123825</xdr:rowOff>
    </xdr:to>
    <xdr:graphicFrame macro="">
      <xdr:nvGraphicFramePr>
        <xdr:cNvPr id="8193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7"/>
  <sheetViews>
    <sheetView showGridLines="0" tabSelected="1" showRuler="0" view="pageLayout" zoomScaleNormal="100" workbookViewId="0">
      <selection activeCell="B2" sqref="B2:F2"/>
    </sheetView>
  </sheetViews>
  <sheetFormatPr defaultColWidth="10.42578125" defaultRowHeight="12.75" x14ac:dyDescent="0.2"/>
  <cols>
    <col min="1" max="1" width="3" style="1" customWidth="1"/>
    <col min="2" max="2" width="31.28515625" style="1" customWidth="1"/>
    <col min="3" max="3" width="10.85546875" style="1" customWidth="1"/>
    <col min="4" max="4" width="10.5703125" style="1" customWidth="1"/>
    <col min="5" max="5" width="11.5703125" style="1" customWidth="1"/>
    <col min="6" max="6" width="10.7109375" style="1" customWidth="1"/>
    <col min="7" max="16384" width="10.42578125" style="1"/>
  </cols>
  <sheetData>
    <row r="2" spans="2:6" ht="15.75" x14ac:dyDescent="0.25">
      <c r="B2" s="122" t="s">
        <v>39</v>
      </c>
      <c r="C2" s="123"/>
      <c r="D2" s="123"/>
      <c r="E2" s="123"/>
      <c r="F2" s="124"/>
    </row>
    <row r="3" spans="2:6" ht="13.5" thickBot="1" x14ac:dyDescent="0.25">
      <c r="C3" s="2"/>
      <c r="D3" s="2"/>
    </row>
    <row r="4" spans="2:6" ht="26.25" customHeight="1" x14ac:dyDescent="0.2">
      <c r="B4" s="77" t="s">
        <v>25</v>
      </c>
      <c r="C4" s="78" t="s">
        <v>32</v>
      </c>
      <c r="D4" s="78" t="s">
        <v>34</v>
      </c>
      <c r="E4" s="78" t="s">
        <v>36</v>
      </c>
      <c r="F4" s="79" t="s">
        <v>51</v>
      </c>
    </row>
    <row r="5" spans="2:6" ht="15" x14ac:dyDescent="0.25">
      <c r="B5" s="80" t="s">
        <v>52</v>
      </c>
      <c r="C5" s="37">
        <v>0.45265216480212045</v>
      </c>
      <c r="D5" s="37">
        <v>0.46236203992082509</v>
      </c>
      <c r="E5" s="37">
        <v>0.44764742832202731</v>
      </c>
      <c r="F5" s="114">
        <f>SUM('HHI - Ukupno'!M6:M10)/100</f>
        <v>0.41915055076653251</v>
      </c>
    </row>
    <row r="6" spans="2:6" ht="15" x14ac:dyDescent="0.25">
      <c r="B6" s="81" t="s">
        <v>53</v>
      </c>
      <c r="C6" s="37">
        <v>0.71664408060870344</v>
      </c>
      <c r="D6" s="37">
        <v>0.7092075914048902</v>
      </c>
      <c r="E6" s="37">
        <v>0.69882954137424436</v>
      </c>
      <c r="F6" s="114">
        <f>SUM('HHI - Ukupno'!M6:M15)/100</f>
        <v>0.68436100941325761</v>
      </c>
    </row>
    <row r="7" spans="2:6" ht="15.75" thickBot="1" x14ac:dyDescent="0.3">
      <c r="B7" s="82" t="s">
        <v>24</v>
      </c>
      <c r="C7" s="38">
        <v>0.12780251496116019</v>
      </c>
      <c r="D7" s="38">
        <v>0.12288848641390204</v>
      </c>
      <c r="E7" s="38">
        <v>0.11477852069048884</v>
      </c>
      <c r="F7" s="115">
        <f>'HHI - Ukupno'!M6/100</f>
        <v>0.10124534902977037</v>
      </c>
    </row>
    <row r="26" spans="2:2" x14ac:dyDescent="0.2">
      <c r="B26" s="27"/>
    </row>
    <row r="27" spans="2:2" x14ac:dyDescent="0.2">
      <c r="B27" s="31"/>
    </row>
  </sheetData>
  <mergeCells count="1">
    <mergeCell ref="B2:F2"/>
  </mergeCells>
  <phoneticPr fontId="23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31.12.2015. godine.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2"/>
  <sheetViews>
    <sheetView showGridLines="0" showRuler="0" view="pageLayout" zoomScaleNormal="100" workbookViewId="0">
      <selection activeCell="B2" sqref="B2:N2"/>
    </sheetView>
  </sheetViews>
  <sheetFormatPr defaultColWidth="10.42578125" defaultRowHeight="12.75" x14ac:dyDescent="0.2"/>
  <cols>
    <col min="1" max="1" width="3.5703125" style="3" customWidth="1"/>
    <col min="2" max="2" width="29.42578125" style="3" customWidth="1"/>
    <col min="3" max="3" width="17.28515625" style="3" customWidth="1"/>
    <col min="4" max="4" width="7.85546875" style="3" customWidth="1"/>
    <col min="5" max="5" width="7.5703125" style="3" customWidth="1"/>
    <col min="6" max="6" width="17.28515625" style="3" customWidth="1"/>
    <col min="7" max="7" width="7.85546875" style="3" customWidth="1"/>
    <col min="8" max="8" width="7.5703125" style="3" customWidth="1"/>
    <col min="9" max="9" width="17.28515625" style="3" customWidth="1"/>
    <col min="10" max="10" width="7.85546875" style="3" customWidth="1"/>
    <col min="11" max="11" width="7.5703125" style="3" customWidth="1"/>
    <col min="12" max="12" width="17.28515625" style="3" customWidth="1"/>
    <col min="13" max="13" width="7.85546875" style="3" customWidth="1"/>
    <col min="14" max="14" width="7.5703125" style="3" customWidth="1"/>
    <col min="15" max="15" width="8.28515625" style="3" bestFit="1" customWidth="1"/>
    <col min="16" max="16" width="7.28515625" style="3" bestFit="1" customWidth="1"/>
    <col min="17" max="17" width="6.140625" style="3" bestFit="1" customWidth="1"/>
    <col min="18" max="16384" width="10.42578125" style="3"/>
  </cols>
  <sheetData>
    <row r="1" spans="2:16" ht="15.75" customHeight="1" x14ac:dyDescent="0.2"/>
    <row r="2" spans="2:16" ht="15.75" x14ac:dyDescent="0.25">
      <c r="B2" s="125" t="s">
        <v>26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7"/>
      <c r="O2" s="5"/>
    </row>
    <row r="3" spans="2:16" ht="16.5" thickBot="1" x14ac:dyDescent="0.3">
      <c r="B3" s="3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6" ht="15.75" x14ac:dyDescent="0.25">
      <c r="B4" s="134" t="s">
        <v>54</v>
      </c>
      <c r="C4" s="128" t="s">
        <v>32</v>
      </c>
      <c r="D4" s="128"/>
      <c r="E4" s="128"/>
      <c r="F4" s="128" t="s">
        <v>34</v>
      </c>
      <c r="G4" s="128"/>
      <c r="H4" s="128"/>
      <c r="I4" s="128" t="s">
        <v>44</v>
      </c>
      <c r="J4" s="128"/>
      <c r="K4" s="128"/>
      <c r="L4" s="128" t="s">
        <v>45</v>
      </c>
      <c r="M4" s="128"/>
      <c r="N4" s="129"/>
      <c r="O4" s="5"/>
    </row>
    <row r="5" spans="2:16" ht="42" customHeight="1" x14ac:dyDescent="0.25">
      <c r="B5" s="135"/>
      <c r="C5" s="85" t="s">
        <v>56</v>
      </c>
      <c r="D5" s="85" t="s">
        <v>2</v>
      </c>
      <c r="E5" s="86" t="s">
        <v>0</v>
      </c>
      <c r="F5" s="85" t="s">
        <v>56</v>
      </c>
      <c r="G5" s="85" t="s">
        <v>2</v>
      </c>
      <c r="H5" s="86" t="s">
        <v>0</v>
      </c>
      <c r="I5" s="85" t="s">
        <v>56</v>
      </c>
      <c r="J5" s="85" t="s">
        <v>2</v>
      </c>
      <c r="K5" s="86" t="s">
        <v>0</v>
      </c>
      <c r="L5" s="85" t="s">
        <v>56</v>
      </c>
      <c r="M5" s="85" t="s">
        <v>2</v>
      </c>
      <c r="N5" s="87" t="s">
        <v>0</v>
      </c>
      <c r="O5" s="5"/>
    </row>
    <row r="6" spans="2:16" ht="15.75" x14ac:dyDescent="0.25">
      <c r="B6" s="44" t="s">
        <v>5</v>
      </c>
      <c r="C6" s="40">
        <v>18695.90221</v>
      </c>
      <c r="D6" s="88">
        <v>21.698807576831864</v>
      </c>
      <c r="E6" s="89">
        <v>470.83825025637594</v>
      </c>
      <c r="F6" s="42">
        <v>24009.000899999999</v>
      </c>
      <c r="G6" s="88">
        <v>24.06312146838442</v>
      </c>
      <c r="H6" s="89">
        <v>579.03381480222311</v>
      </c>
      <c r="I6" s="42">
        <f>27229999/1000</f>
        <v>27229.999</v>
      </c>
      <c r="J6" s="88">
        <f t="shared" ref="J6:J16" si="0">I6/I$17*100</f>
        <v>23.786221468734876</v>
      </c>
      <c r="K6" s="89">
        <f>J6^2</f>
        <v>565.78433175970395</v>
      </c>
      <c r="L6" s="42">
        <f>30077886.69/1000</f>
        <v>30077.886690000003</v>
      </c>
      <c r="M6" s="88">
        <f t="shared" ref="M6:M16" si="1">L6/L$17*100</f>
        <v>24.347974234784324</v>
      </c>
      <c r="N6" s="90">
        <f>M6^2</f>
        <v>592.8238493377213</v>
      </c>
      <c r="O6" s="5"/>
      <c r="P6" s="4" t="s">
        <v>1</v>
      </c>
    </row>
    <row r="7" spans="2:16" ht="15.75" x14ac:dyDescent="0.25">
      <c r="B7" s="44" t="s">
        <v>4</v>
      </c>
      <c r="C7" s="40">
        <v>21857.921329999997</v>
      </c>
      <c r="D7" s="88">
        <v>25.368705058561535</v>
      </c>
      <c r="E7" s="89">
        <v>643.57119634828564</v>
      </c>
      <c r="F7" s="42">
        <v>25415.327309998898</v>
      </c>
      <c r="G7" s="88">
        <v>25.47261798883315</v>
      </c>
      <c r="H7" s="89">
        <v>648.85426720502619</v>
      </c>
      <c r="I7" s="42">
        <f>29373934/1000</f>
        <v>29373.934000000001</v>
      </c>
      <c r="J7" s="88">
        <f t="shared" si="0"/>
        <v>25.659013044106295</v>
      </c>
      <c r="K7" s="89">
        <f t="shared" ref="K7" si="2">J7^2</f>
        <v>658.38495039761699</v>
      </c>
      <c r="L7" s="42">
        <f>28944280.48/1000</f>
        <v>28944.280480000001</v>
      </c>
      <c r="M7" s="88">
        <f t="shared" si="1"/>
        <v>23.43032283600277</v>
      </c>
      <c r="N7" s="90">
        <f>M7^2</f>
        <v>548.98002819931287</v>
      </c>
      <c r="O7" s="5"/>
    </row>
    <row r="8" spans="2:16" ht="15.75" x14ac:dyDescent="0.25">
      <c r="B8" s="44" t="s">
        <v>6</v>
      </c>
      <c r="C8" s="40">
        <v>18067.038690000001</v>
      </c>
      <c r="D8" s="88">
        <v>20.968937022349053</v>
      </c>
      <c r="E8" s="89">
        <v>439.69631984724077</v>
      </c>
      <c r="F8" s="42">
        <v>19749.954249999901</v>
      </c>
      <c r="G8" s="88">
        <v>19.794474167926861</v>
      </c>
      <c r="H8" s="89">
        <v>391.82120758472382</v>
      </c>
      <c r="I8" s="42">
        <f>21348772/1000</f>
        <v>21348.772000000001</v>
      </c>
      <c r="J8" s="88">
        <f t="shared" si="0"/>
        <v>18.648793151903014</v>
      </c>
      <c r="K8" s="89">
        <f t="shared" ref="K8:K9" si="3">J8^2</f>
        <v>347.77748602246476</v>
      </c>
      <c r="L8" s="42">
        <f>22196826.32/1000</f>
        <v>22196.82632</v>
      </c>
      <c r="M8" s="88">
        <f t="shared" si="1"/>
        <v>17.968275527583035</v>
      </c>
      <c r="N8" s="90">
        <f t="shared" ref="N8:N14" si="4">M8^2</f>
        <v>322.85892543513938</v>
      </c>
      <c r="O8" s="5"/>
    </row>
    <row r="9" spans="2:16" ht="15.75" x14ac:dyDescent="0.25">
      <c r="B9" s="45" t="s">
        <v>7</v>
      </c>
      <c r="C9" s="40">
        <v>10254.981</v>
      </c>
      <c r="D9" s="88">
        <v>11.902119348059363</v>
      </c>
      <c r="E9" s="89">
        <v>141.66044497544905</v>
      </c>
      <c r="F9" s="42">
        <v>11444.276390000001</v>
      </c>
      <c r="G9" s="88">
        <v>11.470073829283498</v>
      </c>
      <c r="H9" s="89">
        <v>131.56259364921422</v>
      </c>
      <c r="I9" s="42">
        <f>13006048/1000</f>
        <v>13006.048000000001</v>
      </c>
      <c r="J9" s="88">
        <f t="shared" si="0"/>
        <v>11.361173320681955</v>
      </c>
      <c r="K9" s="89">
        <f t="shared" si="3"/>
        <v>129.07625922257543</v>
      </c>
      <c r="L9" s="42">
        <f>15238493.74/1000</f>
        <v>15238.49374</v>
      </c>
      <c r="M9" s="88">
        <f t="shared" si="1"/>
        <v>12.335522664290021</v>
      </c>
      <c r="N9" s="90">
        <f t="shared" si="4"/>
        <v>152.16511940121279</v>
      </c>
      <c r="O9" s="5"/>
    </row>
    <row r="10" spans="2:16" ht="15.75" x14ac:dyDescent="0.25">
      <c r="B10" s="44" t="s">
        <v>9</v>
      </c>
      <c r="C10" s="40">
        <v>4489.4886999999999</v>
      </c>
      <c r="D10" s="91">
        <v>5.2105830638948891</v>
      </c>
      <c r="E10" s="89">
        <v>27.150175865748249</v>
      </c>
      <c r="F10" s="40">
        <v>4644.4774009999901</v>
      </c>
      <c r="G10" s="91">
        <v>4.6549468810852996</v>
      </c>
      <c r="H10" s="89">
        <v>21.668530465725759</v>
      </c>
      <c r="I10" s="42">
        <f>6831343/1000</f>
        <v>6831.3429999999998</v>
      </c>
      <c r="J10" s="91">
        <f t="shared" si="0"/>
        <v>5.9673831617434763</v>
      </c>
      <c r="K10" s="89">
        <f>J10^2</f>
        <v>35.609661799059566</v>
      </c>
      <c r="L10" s="42">
        <f>7933756/1000</f>
        <v>7933.7560000000003</v>
      </c>
      <c r="M10" s="91">
        <f t="shared" si="1"/>
        <v>6.4223556882169213</v>
      </c>
      <c r="N10" s="90">
        <f>M10^2</f>
        <v>41.246652585972242</v>
      </c>
      <c r="O10" s="5"/>
    </row>
    <row r="11" spans="2:16" ht="15.75" x14ac:dyDescent="0.25">
      <c r="B11" s="44" t="s">
        <v>8</v>
      </c>
      <c r="C11" s="40">
        <v>5717.0856199999998</v>
      </c>
      <c r="D11" s="91">
        <v>6.6353546020527938</v>
      </c>
      <c r="E11" s="89">
        <v>44.027930694983191</v>
      </c>
      <c r="F11" s="42">
        <v>5868.0184600000002</v>
      </c>
      <c r="G11" s="91">
        <v>5.881246019766782</v>
      </c>
      <c r="H11" s="89">
        <v>34.589054745022615</v>
      </c>
      <c r="I11" s="42">
        <f>6576508/1000</f>
        <v>6576.5079999999998</v>
      </c>
      <c r="J11" s="91">
        <f t="shared" si="0"/>
        <v>5.7447771400544916</v>
      </c>
      <c r="K11" s="89">
        <f t="shared" ref="K11" si="5">J11^2</f>
        <v>33.002464388892662</v>
      </c>
      <c r="L11" s="42">
        <f>7450954.84/1000</f>
        <v>7450.9548399999994</v>
      </c>
      <c r="M11" s="91">
        <f t="shared" si="1"/>
        <v>6.0315293537287245</v>
      </c>
      <c r="N11" s="90">
        <f t="shared" si="4"/>
        <v>36.379346344891246</v>
      </c>
      <c r="O11" s="5"/>
    </row>
    <row r="12" spans="2:16" ht="15.75" x14ac:dyDescent="0.25">
      <c r="B12" s="44" t="s">
        <v>28</v>
      </c>
      <c r="C12" s="40">
        <v>2515.2489999999998</v>
      </c>
      <c r="D12" s="91">
        <v>2.9192441983156248</v>
      </c>
      <c r="E12" s="89">
        <v>8.5219866893994354</v>
      </c>
      <c r="F12" s="40">
        <v>3887.07548</v>
      </c>
      <c r="G12" s="91">
        <v>3.8958376411247784</v>
      </c>
      <c r="H12" s="89">
        <v>15.177550926004677</v>
      </c>
      <c r="I12" s="42">
        <f>4615635/1000</f>
        <v>4615.6350000000002</v>
      </c>
      <c r="J12" s="91">
        <f t="shared" si="0"/>
        <v>4.0318957165163347</v>
      </c>
      <c r="K12" s="89">
        <f>J12^2</f>
        <v>16.256183068862768</v>
      </c>
      <c r="L12" s="42">
        <f>4900235.46/1000</f>
        <v>4900.2354599999999</v>
      </c>
      <c r="M12" s="91">
        <f t="shared" si="1"/>
        <v>3.9667283793619639</v>
      </c>
      <c r="N12" s="90">
        <f>M12^2</f>
        <v>15.734934035635593</v>
      </c>
      <c r="O12" s="5"/>
    </row>
    <row r="13" spans="2:16" ht="15.75" x14ac:dyDescent="0.25">
      <c r="B13" s="44" t="s">
        <v>33</v>
      </c>
      <c r="C13" s="40">
        <v>3112.9717599999999</v>
      </c>
      <c r="D13" s="91">
        <v>3.6129722146397349</v>
      </c>
      <c r="E13" s="89">
        <v>13.05356822375875</v>
      </c>
      <c r="F13" s="40">
        <v>3130.2276499999998</v>
      </c>
      <c r="G13" s="91">
        <v>3.1372837411841452</v>
      </c>
      <c r="H13" s="89">
        <v>9.8425492726983865</v>
      </c>
      <c r="I13" s="42">
        <f>3296517/1000</f>
        <v>3296.5169999999998</v>
      </c>
      <c r="J13" s="91">
        <f t="shared" si="0"/>
        <v>2.8796065485514517</v>
      </c>
      <c r="K13" s="89">
        <f t="shared" ref="K13:K14" si="6">J13^2</f>
        <v>8.2921338744604043</v>
      </c>
      <c r="L13" s="42">
        <f>3734009.8/1000</f>
        <v>3734.0097999999998</v>
      </c>
      <c r="M13" s="91">
        <f t="shared" si="1"/>
        <v>3.0226716171870835</v>
      </c>
      <c r="N13" s="90">
        <f t="shared" si="4"/>
        <v>9.1365437053483785</v>
      </c>
      <c r="O13" s="5"/>
    </row>
    <row r="14" spans="2:16" ht="15.75" x14ac:dyDescent="0.25">
      <c r="B14" s="46" t="s">
        <v>40</v>
      </c>
      <c r="C14" s="40">
        <v>777.30200000000002</v>
      </c>
      <c r="D14" s="91">
        <v>0.90215098140944761</v>
      </c>
      <c r="E14" s="89">
        <v>0.81387639325802952</v>
      </c>
      <c r="F14" s="40">
        <v>1000.3125</v>
      </c>
      <c r="G14" s="91">
        <v>1.0025673827120098</v>
      </c>
      <c r="H14" s="89">
        <v>1.0051413568780097</v>
      </c>
      <c r="I14" s="42">
        <f>1498482.6/1000</f>
        <v>1498.4826</v>
      </c>
      <c r="J14" s="91">
        <f t="shared" si="0"/>
        <v>1.3089695299160919</v>
      </c>
      <c r="K14" s="89">
        <f t="shared" si="6"/>
        <v>1.7134012302487547</v>
      </c>
      <c r="L14" s="42">
        <f>2320358.22/1000</f>
        <v>2320.3582200000001</v>
      </c>
      <c r="M14" s="91">
        <f t="shared" si="1"/>
        <v>1.8783241900706162</v>
      </c>
      <c r="N14" s="90">
        <f t="shared" si="4"/>
        <v>3.5281017630044365</v>
      </c>
      <c r="O14" s="5"/>
    </row>
    <row r="15" spans="2:16" ht="15.75" x14ac:dyDescent="0.25">
      <c r="B15" s="44" t="s">
        <v>10</v>
      </c>
      <c r="C15" s="41">
        <v>525.61599999999999</v>
      </c>
      <c r="D15" s="91">
        <v>0.61003958595823526</v>
      </c>
      <c r="E15" s="89">
        <v>0.37214829643609509</v>
      </c>
      <c r="F15" s="40">
        <v>626.41881999999998</v>
      </c>
      <c r="G15" s="91">
        <v>0.62783087969903972</v>
      </c>
      <c r="H15" s="89">
        <v>0.39417161350367008</v>
      </c>
      <c r="I15" s="42">
        <f>700796.66/1000</f>
        <v>700.79666000000009</v>
      </c>
      <c r="J15" s="91">
        <f t="shared" si="0"/>
        <v>0.61216691779201671</v>
      </c>
      <c r="K15" s="89">
        <f>J15^2</f>
        <v>0.37474833523897771</v>
      </c>
      <c r="L15" s="42">
        <f>736624.27/1000</f>
        <v>736.62427000000002</v>
      </c>
      <c r="M15" s="91">
        <f t="shared" si="1"/>
        <v>0.59629550877454984</v>
      </c>
      <c r="N15" s="90">
        <f>M15^2</f>
        <v>0.35556833378469926</v>
      </c>
      <c r="O15" s="5"/>
    </row>
    <row r="16" spans="2:16" ht="15.75" x14ac:dyDescent="0.25">
      <c r="B16" s="46" t="s">
        <v>50</v>
      </c>
      <c r="C16" s="40">
        <v>147.40965</v>
      </c>
      <c r="D16" s="91">
        <v>0.17108634792747632</v>
      </c>
      <c r="E16" s="89">
        <v>2.927053844716148E-2</v>
      </c>
      <c r="F16" s="40">
        <v>0</v>
      </c>
      <c r="G16" s="91">
        <v>0</v>
      </c>
      <c r="H16" s="89">
        <v>0</v>
      </c>
      <c r="I16" s="42">
        <v>0</v>
      </c>
      <c r="J16" s="91">
        <f t="shared" si="0"/>
        <v>0</v>
      </c>
      <c r="K16" s="89">
        <f>J16^2</f>
        <v>0</v>
      </c>
      <c r="L16" s="42">
        <v>0</v>
      </c>
      <c r="M16" s="91">
        <f t="shared" si="1"/>
        <v>0</v>
      </c>
      <c r="N16" s="90">
        <f>M16^2</f>
        <v>0</v>
      </c>
      <c r="O16" s="5"/>
    </row>
    <row r="17" spans="2:15" ht="16.5" thickBot="1" x14ac:dyDescent="0.3">
      <c r="B17" s="92" t="s">
        <v>3</v>
      </c>
      <c r="C17" s="93">
        <f>SUM(C6:C16)</f>
        <v>86160.965959999987</v>
      </c>
      <c r="D17" s="94">
        <v>100.00000000000001</v>
      </c>
      <c r="E17" s="93">
        <v>1789.7351681293824</v>
      </c>
      <c r="F17" s="93">
        <f>SUM(F6:F16)</f>
        <v>99775.089160998803</v>
      </c>
      <c r="G17" s="94">
        <v>99.999999999999986</v>
      </c>
      <c r="H17" s="93">
        <v>1833.9488816210205</v>
      </c>
      <c r="I17" s="93">
        <f t="shared" ref="I17:N17" si="7">SUM(I6:I16)</f>
        <v>114478.03526</v>
      </c>
      <c r="J17" s="94">
        <f t="shared" si="7"/>
        <v>99.999999999999986</v>
      </c>
      <c r="K17" s="105">
        <f t="shared" si="7"/>
        <v>1796.2716200991242</v>
      </c>
      <c r="L17" s="109">
        <f t="shared" si="7"/>
        <v>123533.42581999999</v>
      </c>
      <c r="M17" s="94">
        <f t="shared" si="7"/>
        <v>100.00000000000001</v>
      </c>
      <c r="N17" s="95">
        <f t="shared" si="7"/>
        <v>1723.2090691420231</v>
      </c>
      <c r="O17" s="5"/>
    </row>
    <row r="18" spans="2:15" ht="15.75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2:15" ht="16.5" thickBot="1" x14ac:dyDescent="0.3">
      <c r="B19" s="6"/>
      <c r="C19" s="110"/>
      <c r="D19" s="110"/>
      <c r="E19" s="110"/>
      <c r="F19" s="110"/>
      <c r="G19" s="110"/>
      <c r="H19" s="110"/>
      <c r="I19" s="111"/>
      <c r="J19" s="110"/>
      <c r="K19" s="110"/>
      <c r="L19" s="112"/>
      <c r="M19" s="110"/>
      <c r="N19" s="110"/>
      <c r="O19" s="5"/>
    </row>
    <row r="20" spans="2:15" ht="15.75" x14ac:dyDescent="0.25">
      <c r="B20" s="130"/>
      <c r="C20" s="131"/>
      <c r="D20" s="29" t="s">
        <v>32</v>
      </c>
      <c r="E20" s="29" t="s">
        <v>34</v>
      </c>
      <c r="F20" s="83" t="s">
        <v>36</v>
      </c>
      <c r="G20" s="84" t="s">
        <v>51</v>
      </c>
      <c r="H20" s="5"/>
      <c r="I20" s="31" t="s">
        <v>57</v>
      </c>
      <c r="J20" s="5"/>
      <c r="K20" s="5"/>
      <c r="L20" s="30"/>
      <c r="M20" s="5"/>
      <c r="N20" s="5"/>
      <c r="O20" s="5"/>
    </row>
    <row r="21" spans="2:15" ht="15.75" x14ac:dyDescent="0.25">
      <c r="B21" s="136" t="s">
        <v>27</v>
      </c>
      <c r="C21" s="137"/>
      <c r="D21" s="47">
        <v>0.79938569005801807</v>
      </c>
      <c r="E21" s="47">
        <v>0.80800287454427933</v>
      </c>
      <c r="F21" s="47">
        <v>0.79455200985426133</v>
      </c>
      <c r="G21" s="71">
        <f>SUM(M6:M9)/100</f>
        <v>0.78082095262660145</v>
      </c>
      <c r="H21" s="5"/>
      <c r="I21" s="5"/>
      <c r="J21" s="5"/>
      <c r="K21" s="5"/>
      <c r="L21" s="7"/>
      <c r="M21" s="5"/>
      <c r="N21" s="5"/>
      <c r="O21" s="5"/>
    </row>
    <row r="22" spans="2:15" ht="16.5" thickBot="1" x14ac:dyDescent="0.3">
      <c r="B22" s="132" t="s">
        <v>0</v>
      </c>
      <c r="C22" s="133"/>
      <c r="D22" s="43">
        <v>1789.7351681293824</v>
      </c>
      <c r="E22" s="43">
        <v>1833.9488816210205</v>
      </c>
      <c r="F22" s="43">
        <v>1796.2716200991242</v>
      </c>
      <c r="G22" s="72">
        <v>1723.2090691420201</v>
      </c>
      <c r="H22" s="5"/>
      <c r="I22" s="31" t="s">
        <v>58</v>
      </c>
      <c r="J22" s="5"/>
      <c r="K22" s="5"/>
      <c r="L22" s="60"/>
      <c r="M22" s="5"/>
      <c r="N22" s="5"/>
      <c r="O22" s="5"/>
    </row>
    <row r="23" spans="2:15" x14ac:dyDescent="0.2">
      <c r="L23" s="61"/>
    </row>
    <row r="24" spans="2:15" x14ac:dyDescent="0.2">
      <c r="I24" s="31" t="s">
        <v>48</v>
      </c>
      <c r="L24" s="39"/>
      <c r="M24" s="4"/>
      <c r="N24" s="39"/>
    </row>
    <row r="25" spans="2:15" x14ac:dyDescent="0.2">
      <c r="I25" s="3" t="s">
        <v>38</v>
      </c>
    </row>
    <row r="26" spans="2:15" x14ac:dyDescent="0.2">
      <c r="F26" s="10"/>
    </row>
    <row r="27" spans="2:15" x14ac:dyDescent="0.2">
      <c r="F27" s="10"/>
      <c r="I27" s="31" t="s">
        <v>59</v>
      </c>
    </row>
    <row r="28" spans="2:15" x14ac:dyDescent="0.2">
      <c r="F28" s="10"/>
      <c r="I28" s="31" t="s">
        <v>61</v>
      </c>
    </row>
    <row r="29" spans="2:15" x14ac:dyDescent="0.2">
      <c r="F29" s="10"/>
    </row>
    <row r="30" spans="2:15" x14ac:dyDescent="0.2">
      <c r="F30" s="10"/>
    </row>
    <row r="31" spans="2:15" x14ac:dyDescent="0.2">
      <c r="F31" s="10"/>
    </row>
    <row r="32" spans="2:15" x14ac:dyDescent="0.2">
      <c r="F32" s="11"/>
    </row>
  </sheetData>
  <mergeCells count="9">
    <mergeCell ref="B2:N2"/>
    <mergeCell ref="L4:N4"/>
    <mergeCell ref="B20:C20"/>
    <mergeCell ref="B22:C22"/>
    <mergeCell ref="B4:B5"/>
    <mergeCell ref="C4:E4"/>
    <mergeCell ref="F4:H4"/>
    <mergeCell ref="I4:K4"/>
    <mergeCell ref="B21:C21"/>
  </mergeCells>
  <phoneticPr fontId="23" type="noConversion"/>
  <pageMargins left="0.39370078740157483" right="0.39370078740157483" top="0.39370078740157483" bottom="0.39370078740157483" header="0.19685039370078741" footer="0.19685039370078741"/>
  <pageSetup paperSize="9" scale="79" orientation="landscape" r:id="rId1"/>
  <headerFooter>
    <oddHeader>&amp;LAgencija za osiguranje u BiH&amp;CStatistika tržišta osiguranja&amp;RGodišnje izvješće</oddHeader>
    <oddFooter>&amp;CU izvješće su uključeni podatci zaključno s 31.12.2015. godine.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60"/>
  <sheetViews>
    <sheetView showGridLines="0" showRuler="0" view="pageLayout" zoomScaleNormal="100" workbookViewId="0">
      <selection activeCell="B2" sqref="B2:N2"/>
    </sheetView>
  </sheetViews>
  <sheetFormatPr defaultColWidth="10.42578125" defaultRowHeight="15.75" x14ac:dyDescent="0.25"/>
  <cols>
    <col min="1" max="1" width="3.5703125" style="5" customWidth="1"/>
    <col min="2" max="2" width="29.42578125" style="5" customWidth="1"/>
    <col min="3" max="3" width="17.28515625" style="5" customWidth="1"/>
    <col min="4" max="4" width="7.85546875" style="5" customWidth="1"/>
    <col min="5" max="5" width="7.5703125" style="5" customWidth="1"/>
    <col min="6" max="6" width="17.28515625" style="5" customWidth="1"/>
    <col min="7" max="7" width="7.85546875" style="5" customWidth="1"/>
    <col min="8" max="8" width="7.5703125" style="5" customWidth="1"/>
    <col min="9" max="9" width="17.28515625" style="5" customWidth="1"/>
    <col min="10" max="10" width="7.85546875" style="5" customWidth="1"/>
    <col min="11" max="11" width="7.5703125" style="5" customWidth="1"/>
    <col min="12" max="12" width="17.28515625" style="5" customWidth="1"/>
    <col min="13" max="13" width="7.85546875" style="5" customWidth="1"/>
    <col min="14" max="14" width="7.5703125" style="5" customWidth="1"/>
    <col min="15" max="15" width="8.42578125" style="5" bestFit="1" customWidth="1"/>
    <col min="16" max="16" width="7.28515625" style="5" bestFit="1" customWidth="1"/>
    <col min="17" max="17" width="4.5703125" style="5" bestFit="1" customWidth="1"/>
    <col min="18" max="18" width="10.42578125" style="5"/>
    <col min="19" max="19" width="12.7109375" style="5" bestFit="1" customWidth="1"/>
    <col min="20" max="20" width="11.7109375" style="5" bestFit="1" customWidth="1"/>
    <col min="21" max="21" width="15.42578125" style="5" bestFit="1" customWidth="1"/>
    <col min="22" max="16384" width="10.42578125" style="5"/>
  </cols>
  <sheetData>
    <row r="1" spans="2:21" ht="15.75" customHeight="1" x14ac:dyDescent="0.25"/>
    <row r="2" spans="2:21" x14ac:dyDescent="0.25">
      <c r="B2" s="138" t="s">
        <v>29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40"/>
    </row>
    <row r="3" spans="2:21" ht="16.5" thickBot="1" x14ac:dyDescent="0.3">
      <c r="B3" s="73"/>
      <c r="C3" s="74"/>
      <c r="D3" s="50"/>
    </row>
    <row r="4" spans="2:21" x14ac:dyDescent="0.25">
      <c r="B4" s="143" t="s">
        <v>54</v>
      </c>
      <c r="C4" s="141" t="s">
        <v>32</v>
      </c>
      <c r="D4" s="141"/>
      <c r="E4" s="141"/>
      <c r="F4" s="141" t="s">
        <v>34</v>
      </c>
      <c r="G4" s="141"/>
      <c r="H4" s="141"/>
      <c r="I4" s="141" t="s">
        <v>44</v>
      </c>
      <c r="J4" s="141"/>
      <c r="K4" s="141"/>
      <c r="L4" s="141" t="s">
        <v>45</v>
      </c>
      <c r="M4" s="141"/>
      <c r="N4" s="142"/>
    </row>
    <row r="5" spans="2:21" ht="42" customHeight="1" x14ac:dyDescent="0.25">
      <c r="B5" s="144"/>
      <c r="C5" s="13" t="s">
        <v>56</v>
      </c>
      <c r="D5" s="13" t="s">
        <v>2</v>
      </c>
      <c r="E5" s="14" t="s">
        <v>0</v>
      </c>
      <c r="F5" s="13" t="s">
        <v>56</v>
      </c>
      <c r="G5" s="13" t="s">
        <v>2</v>
      </c>
      <c r="H5" s="14" t="s">
        <v>0</v>
      </c>
      <c r="I5" s="13" t="s">
        <v>56</v>
      </c>
      <c r="J5" s="13" t="s">
        <v>2</v>
      </c>
      <c r="K5" s="14" t="s">
        <v>0</v>
      </c>
      <c r="L5" s="13" t="s">
        <v>56</v>
      </c>
      <c r="M5" s="13" t="s">
        <v>2</v>
      </c>
      <c r="N5" s="15" t="s">
        <v>0</v>
      </c>
    </row>
    <row r="6" spans="2:21" x14ac:dyDescent="0.25">
      <c r="B6" s="48" t="s">
        <v>33</v>
      </c>
      <c r="C6" s="51">
        <v>61439.14748</v>
      </c>
      <c r="D6" s="16">
        <v>14.66566992120358</v>
      </c>
      <c r="E6" s="18">
        <v>215.08187423769544</v>
      </c>
      <c r="F6" s="51">
        <v>61620.497689999997</v>
      </c>
      <c r="G6" s="16">
        <v>14.425784558034374</v>
      </c>
      <c r="H6" s="18">
        <v>208.103260114823</v>
      </c>
      <c r="I6" s="54">
        <v>61221.737000000001</v>
      </c>
      <c r="J6" s="88">
        <v>13.676775372793273</v>
      </c>
      <c r="K6" s="96">
        <v>187.05418459784457</v>
      </c>
      <c r="L6" s="54">
        <f>56588224.11/1000</f>
        <v>56588.224110000003</v>
      </c>
      <c r="M6" s="88">
        <f t="shared" ref="M6:M30" si="0">L6/L$31*100</f>
        <v>11.982199347924126</v>
      </c>
      <c r="N6" s="97">
        <f>M6^2</f>
        <v>143.57310121339336</v>
      </c>
      <c r="Q6" s="116"/>
      <c r="R6" s="117"/>
      <c r="S6" s="118"/>
      <c r="T6" s="118"/>
      <c r="U6" s="119"/>
    </row>
    <row r="7" spans="2:21" x14ac:dyDescent="0.25">
      <c r="B7" s="48" t="s">
        <v>11</v>
      </c>
      <c r="C7" s="51">
        <v>41999.219409999998</v>
      </c>
      <c r="D7" s="16">
        <v>10.025313079348519</v>
      </c>
      <c r="E7" s="18">
        <v>100.50690233895649</v>
      </c>
      <c r="F7" s="51">
        <v>44700.226000000002</v>
      </c>
      <c r="G7" s="16">
        <v>10.461253566761876</v>
      </c>
      <c r="H7" s="18">
        <v>109.43782618808807</v>
      </c>
      <c r="I7" s="54">
        <v>48712.480000000003</v>
      </c>
      <c r="J7" s="88">
        <v>10.88224018883497</v>
      </c>
      <c r="K7" s="96">
        <v>118.42315152749497</v>
      </c>
      <c r="L7" s="54">
        <f>53375714.26/1000</f>
        <v>53375.714260000001</v>
      </c>
      <c r="M7" s="88">
        <f t="shared" si="0"/>
        <v>11.301970660149003</v>
      </c>
      <c r="N7" s="97">
        <f t="shared" ref="N7:N30" si="1">M7^2</f>
        <v>127.73454080286889</v>
      </c>
      <c r="Q7" s="116"/>
      <c r="R7" s="117"/>
      <c r="S7" s="118"/>
      <c r="T7" s="118"/>
      <c r="U7" s="119"/>
    </row>
    <row r="8" spans="2:21" x14ac:dyDescent="0.25">
      <c r="B8" s="48" t="s">
        <v>28</v>
      </c>
      <c r="C8" s="51">
        <v>41455.807829999998</v>
      </c>
      <c r="D8" s="16">
        <v>9.895599449024564</v>
      </c>
      <c r="E8" s="18">
        <v>97.922888455535258</v>
      </c>
      <c r="F8" s="51">
        <v>41738.515090000001</v>
      </c>
      <c r="G8" s="16">
        <v>9.7728010352328454</v>
      </c>
      <c r="H8" s="18">
        <v>95.507640074248172</v>
      </c>
      <c r="I8" s="54">
        <v>40665.118999999999</v>
      </c>
      <c r="J8" s="88">
        <v>9.084480861281472</v>
      </c>
      <c r="K8" s="96">
        <v>82.527792518989358</v>
      </c>
      <c r="L8" s="54">
        <f>42080991.99/1000</f>
        <v>42080.991990000002</v>
      </c>
      <c r="M8" s="88">
        <f t="shared" si="0"/>
        <v>8.9103844962944247</v>
      </c>
      <c r="N8" s="97">
        <f t="shared" si="1"/>
        <v>79.394951871804054</v>
      </c>
      <c r="Q8" s="116"/>
      <c r="R8" s="117"/>
      <c r="S8" s="118"/>
      <c r="T8" s="118"/>
      <c r="U8" s="119"/>
    </row>
    <row r="9" spans="2:21" x14ac:dyDescent="0.25">
      <c r="B9" s="62" t="s">
        <v>40</v>
      </c>
      <c r="C9" s="51">
        <v>29986.645</v>
      </c>
      <c r="D9" s="19">
        <v>7.15788313562566</v>
      </c>
      <c r="E9" s="18">
        <v>51.235290983274233</v>
      </c>
      <c r="F9" s="51">
        <v>22252.877510000002</v>
      </c>
      <c r="G9" s="19">
        <v>5.2078706318442922</v>
      </c>
      <c r="H9" s="18">
        <v>27.121916518026268</v>
      </c>
      <c r="I9" s="51">
        <v>25662.91243</v>
      </c>
      <c r="J9" s="91">
        <v>5.733027285991156</v>
      </c>
      <c r="K9" s="96">
        <v>32.86760186191912</v>
      </c>
      <c r="L9" s="51">
        <f>29337981.09/1000</f>
        <v>29337.981090000001</v>
      </c>
      <c r="M9" s="88">
        <f t="shared" si="0"/>
        <v>6.2121323546516285</v>
      </c>
      <c r="N9" s="97">
        <f>M9^2</f>
        <v>38.590588391709588</v>
      </c>
      <c r="Q9" s="116"/>
      <c r="R9" s="117"/>
      <c r="S9" s="118"/>
      <c r="T9" s="120"/>
      <c r="U9" s="119"/>
    </row>
    <row r="10" spans="2:21" x14ac:dyDescent="0.25">
      <c r="B10" s="48" t="s">
        <v>8</v>
      </c>
      <c r="C10" s="52">
        <v>30684.591670000002</v>
      </c>
      <c r="D10" s="16">
        <v>7.3245562684052619</v>
      </c>
      <c r="E10" s="18">
        <v>53.649124529034815</v>
      </c>
      <c r="F10" s="51">
        <v>34539.789290000001</v>
      </c>
      <c r="G10" s="16">
        <v>8.0833929990693143</v>
      </c>
      <c r="H10" s="18">
        <v>65.341242377402807</v>
      </c>
      <c r="I10" s="54">
        <v>36941.036999999997</v>
      </c>
      <c r="J10" s="88">
        <v>8.2525307161253032</v>
      </c>
      <c r="K10" s="96">
        <v>68.104263220591605</v>
      </c>
      <c r="L10" s="54">
        <f>35802368.73/1000</f>
        <v>35802.368729999995</v>
      </c>
      <c r="M10" s="91">
        <f t="shared" si="0"/>
        <v>7.5809256430603513</v>
      </c>
      <c r="N10" s="97">
        <f t="shared" si="1"/>
        <v>57.470433605610005</v>
      </c>
      <c r="Q10" s="116"/>
      <c r="R10" s="117"/>
      <c r="S10" s="118"/>
      <c r="T10" s="118"/>
      <c r="U10" s="119"/>
    </row>
    <row r="11" spans="2:21" x14ac:dyDescent="0.25">
      <c r="B11" s="48" t="s">
        <v>9</v>
      </c>
      <c r="C11" s="52">
        <v>28126.94096</v>
      </c>
      <c r="D11" s="19">
        <v>6.7139673796225816</v>
      </c>
      <c r="E11" s="18">
        <v>45.077357974636115</v>
      </c>
      <c r="F11" s="51">
        <v>27252.208649999997</v>
      </c>
      <c r="G11" s="19">
        <v>6.3778707727775537</v>
      </c>
      <c r="H11" s="18">
        <v>40.677235594250149</v>
      </c>
      <c r="I11" s="54">
        <v>26543.806</v>
      </c>
      <c r="J11" s="91">
        <v>5.9298165976735078</v>
      </c>
      <c r="K11" s="96">
        <v>35.162724882044216</v>
      </c>
      <c r="L11" s="54">
        <f>27922366.09/1000</f>
        <v>27922.36609</v>
      </c>
      <c r="M11" s="91">
        <f t="shared" si="0"/>
        <v>5.9123848118247073</v>
      </c>
      <c r="N11" s="97">
        <f t="shared" si="1"/>
        <v>34.956294163095478</v>
      </c>
      <c r="Q11" s="116"/>
      <c r="R11" s="117"/>
      <c r="S11" s="118"/>
      <c r="T11" s="118"/>
      <c r="U11" s="119"/>
    </row>
    <row r="12" spans="2:21" x14ac:dyDescent="0.25">
      <c r="B12" s="48" t="s">
        <v>14</v>
      </c>
      <c r="C12" s="51">
        <v>14922.084000000001</v>
      </c>
      <c r="D12" s="19">
        <v>3.5619367692514281</v>
      </c>
      <c r="E12" s="18">
        <v>12.687393548145302</v>
      </c>
      <c r="F12" s="51">
        <v>16908.24828</v>
      </c>
      <c r="G12" s="19">
        <v>3.9570599179262618</v>
      </c>
      <c r="H12" s="18">
        <v>15.658323194058594</v>
      </c>
      <c r="I12" s="51">
        <v>19076.537479999999</v>
      </c>
      <c r="J12" s="91">
        <v>4.2616484077319106</v>
      </c>
      <c r="K12" s="96">
        <v>18.16164715112393</v>
      </c>
      <c r="L12" s="51">
        <f>23296826.65/1000</f>
        <v>23296.826649999999</v>
      </c>
      <c r="M12" s="91">
        <f t="shared" si="0"/>
        <v>4.9329560254745966</v>
      </c>
      <c r="N12" s="97">
        <f>M12^2</f>
        <v>24.334055149266128</v>
      </c>
      <c r="Q12" s="116"/>
      <c r="R12" s="117"/>
      <c r="S12" s="118"/>
      <c r="T12" s="120"/>
      <c r="U12" s="119"/>
    </row>
    <row r="13" spans="2:21" x14ac:dyDescent="0.25">
      <c r="B13" s="48" t="s">
        <v>12</v>
      </c>
      <c r="C13" s="51">
        <v>24483.962</v>
      </c>
      <c r="D13" s="19">
        <v>5.8443796794572886</v>
      </c>
      <c r="E13" s="18">
        <v>34.156773837653283</v>
      </c>
      <c r="F13" s="51">
        <v>23086.074800000002</v>
      </c>
      <c r="G13" s="19">
        <v>5.402864905963372</v>
      </c>
      <c r="H13" s="18">
        <v>29.190949192090596</v>
      </c>
      <c r="I13" s="51">
        <v>22317.208999999999</v>
      </c>
      <c r="J13" s="91">
        <v>4.9856059203397045</v>
      </c>
      <c r="K13" s="96">
        <v>24.856266392926312</v>
      </c>
      <c r="L13" s="54">
        <f>23264166.76/1000</f>
        <v>23264.16676</v>
      </c>
      <c r="M13" s="91">
        <f t="shared" si="0"/>
        <v>4.9260404998715925</v>
      </c>
      <c r="N13" s="97">
        <f>M13^2</f>
        <v>24.265875006375168</v>
      </c>
      <c r="Q13" s="116"/>
      <c r="R13" s="117"/>
      <c r="S13" s="118"/>
      <c r="T13" s="118"/>
      <c r="U13" s="119"/>
    </row>
    <row r="14" spans="2:21" x14ac:dyDescent="0.25">
      <c r="B14" s="49" t="s">
        <v>5</v>
      </c>
      <c r="C14" s="51">
        <v>23011.035800000001</v>
      </c>
      <c r="D14" s="19">
        <v>5.4927887093103722</v>
      </c>
      <c r="E14" s="18">
        <v>30.170727805127505</v>
      </c>
      <c r="F14" s="51">
        <v>24163.12268</v>
      </c>
      <c r="G14" s="19">
        <v>5.6549278592071275</v>
      </c>
      <c r="H14" s="18">
        <v>31.978209092836906</v>
      </c>
      <c r="I14" s="51">
        <v>22368.453000000001</v>
      </c>
      <c r="J14" s="91">
        <v>4.9970536954527089</v>
      </c>
      <c r="K14" s="96">
        <v>24.970545635237574</v>
      </c>
      <c r="L14" s="54">
        <f>23117769.26/1000</f>
        <v>23117.769260000001</v>
      </c>
      <c r="M14" s="91">
        <f t="shared" si="0"/>
        <v>4.8950417531071091</v>
      </c>
      <c r="N14" s="97">
        <f t="shared" si="1"/>
        <v>23.961433764661919</v>
      </c>
      <c r="Q14" s="116"/>
      <c r="R14" s="117"/>
      <c r="S14" s="118"/>
      <c r="T14" s="118"/>
      <c r="U14" s="119"/>
    </row>
    <row r="15" spans="2:21" x14ac:dyDescent="0.25">
      <c r="B15" s="48" t="s">
        <v>15</v>
      </c>
      <c r="C15" s="51">
        <v>14700.50144</v>
      </c>
      <c r="D15" s="19">
        <v>3.5090444877250095</v>
      </c>
      <c r="E15" s="18">
        <v>12.313393216833274</v>
      </c>
      <c r="F15" s="51">
        <v>16610.46746</v>
      </c>
      <c r="G15" s="19">
        <v>3.8961335505262915</v>
      </c>
      <c r="H15" s="18">
        <v>15.179856643536606</v>
      </c>
      <c r="I15" s="51">
        <v>17312.317999999999</v>
      </c>
      <c r="J15" s="91">
        <v>3.8675264059947478</v>
      </c>
      <c r="K15" s="96">
        <v>14.957760501066652</v>
      </c>
      <c r="L15" s="54">
        <f>19241775.54/1000</f>
        <v>19241.775539999999</v>
      </c>
      <c r="M15" s="91">
        <f t="shared" si="0"/>
        <v>4.0743245428609782</v>
      </c>
      <c r="N15" s="97">
        <f>M15^2</f>
        <v>16.600120480559319</v>
      </c>
      <c r="Q15" s="116"/>
      <c r="R15" s="117"/>
      <c r="S15" s="118"/>
      <c r="T15" s="118"/>
      <c r="U15" s="119"/>
    </row>
    <row r="16" spans="2:21" x14ac:dyDescent="0.25">
      <c r="B16" s="48" t="s">
        <v>10</v>
      </c>
      <c r="C16" s="51">
        <v>17563.335999999999</v>
      </c>
      <c r="D16" s="19">
        <v>4.1924098731194182</v>
      </c>
      <c r="E16" s="18">
        <v>17.576300544229177</v>
      </c>
      <c r="F16" s="51">
        <v>17249.30876</v>
      </c>
      <c r="G16" s="19">
        <v>4.0368787573854075</v>
      </c>
      <c r="H16" s="18">
        <v>16.296390101829552</v>
      </c>
      <c r="I16" s="51">
        <v>15999.611800000001</v>
      </c>
      <c r="J16" s="91">
        <v>3.5742712860383663</v>
      </c>
      <c r="K16" s="96">
        <v>12.775415226198357</v>
      </c>
      <c r="L16" s="51">
        <f>18013284.02/1000</f>
        <v>18013.284019999999</v>
      </c>
      <c r="M16" s="91">
        <f t="shared" si="0"/>
        <v>3.8141992160569336</v>
      </c>
      <c r="N16" s="97">
        <f t="shared" si="1"/>
        <v>14.548115659769326</v>
      </c>
      <c r="Q16" s="116"/>
      <c r="R16" s="117"/>
      <c r="S16" s="118"/>
      <c r="T16" s="118"/>
      <c r="U16" s="119"/>
    </row>
    <row r="17" spans="2:21" x14ac:dyDescent="0.25">
      <c r="B17" s="48" t="s">
        <v>18</v>
      </c>
      <c r="C17" s="51">
        <v>10028.18844</v>
      </c>
      <c r="D17" s="19">
        <v>2.3937523159243792</v>
      </c>
      <c r="E17" s="18">
        <v>5.7300501499933292</v>
      </c>
      <c r="F17" s="51">
        <v>10800.29269</v>
      </c>
      <c r="G17" s="19">
        <v>2.5277389105895427</v>
      </c>
      <c r="H17" s="18">
        <v>6.3894640001084078</v>
      </c>
      <c r="I17" s="51">
        <v>12299.341</v>
      </c>
      <c r="J17" s="91">
        <v>2.7476405004710434</v>
      </c>
      <c r="K17" s="96">
        <v>7.5495283198287657</v>
      </c>
      <c r="L17" s="54">
        <f>16716918.65/1000</f>
        <v>16716.91865</v>
      </c>
      <c r="M17" s="91">
        <f t="shared" si="0"/>
        <v>3.5397020298421706</v>
      </c>
      <c r="N17" s="97">
        <f>M17^2</f>
        <v>12.529490460068782</v>
      </c>
      <c r="Q17" s="116"/>
      <c r="R17" s="116"/>
      <c r="S17" s="116"/>
      <c r="T17" s="116"/>
      <c r="U17" s="116"/>
    </row>
    <row r="18" spans="2:21" x14ac:dyDescent="0.25">
      <c r="B18" s="48" t="s">
        <v>16</v>
      </c>
      <c r="C18" s="51">
        <v>12285.731</v>
      </c>
      <c r="D18" s="19">
        <v>2.9326330682786743</v>
      </c>
      <c r="E18" s="18">
        <v>8.6003367131615924</v>
      </c>
      <c r="F18" s="51">
        <v>13259.36598</v>
      </c>
      <c r="G18" s="19">
        <v>3.1031071219030544</v>
      </c>
      <c r="H18" s="18">
        <v>9.6292738100054578</v>
      </c>
      <c r="I18" s="51">
        <v>14017.231099999999</v>
      </c>
      <c r="J18" s="91">
        <v>3.1314126403050588</v>
      </c>
      <c r="K18" s="96">
        <v>9.8057451238622999</v>
      </c>
      <c r="L18" s="51">
        <f>15445117.94/1000</f>
        <v>15445.11794</v>
      </c>
      <c r="M18" s="91">
        <f t="shared" si="0"/>
        <v>3.270406255363917</v>
      </c>
      <c r="N18" s="97">
        <f>M18^2</f>
        <v>10.695557075123439</v>
      </c>
      <c r="Q18" s="116"/>
      <c r="R18" s="116"/>
      <c r="S18" s="116"/>
      <c r="T18" s="116"/>
      <c r="U18" s="121"/>
    </row>
    <row r="19" spans="2:21" x14ac:dyDescent="0.25">
      <c r="B19" s="48" t="s">
        <v>23</v>
      </c>
      <c r="C19" s="51">
        <v>14213.268</v>
      </c>
      <c r="D19" s="19">
        <v>3.3927407123847253</v>
      </c>
      <c r="E19" s="18">
        <v>11.510689541472813</v>
      </c>
      <c r="F19" s="51">
        <v>14049.27666</v>
      </c>
      <c r="G19" s="19">
        <v>3.2879709728950672</v>
      </c>
      <c r="H19" s="18">
        <v>10.810753118600536</v>
      </c>
      <c r="I19" s="51">
        <v>14004.945760000001</v>
      </c>
      <c r="J19" s="91">
        <v>3.1286681275912436</v>
      </c>
      <c r="K19" s="96">
        <v>9.7885642526052976</v>
      </c>
      <c r="L19" s="51">
        <f>15162815.42/1000</f>
        <v>15162.815420000001</v>
      </c>
      <c r="M19" s="91">
        <f t="shared" si="0"/>
        <v>3.2106304782607871</v>
      </c>
      <c r="N19" s="97">
        <f t="shared" si="1"/>
        <v>10.30814806793709</v>
      </c>
      <c r="Q19" s="116"/>
      <c r="R19" s="116"/>
      <c r="S19" s="116"/>
      <c r="T19" s="116"/>
      <c r="U19" s="116"/>
    </row>
    <row r="20" spans="2:21" x14ac:dyDescent="0.25">
      <c r="B20" s="48" t="s">
        <v>19</v>
      </c>
      <c r="C20" s="51">
        <v>8010.0919999999996</v>
      </c>
      <c r="D20" s="19">
        <v>1.9120279191490082</v>
      </c>
      <c r="E20" s="18">
        <v>3.6558507636052862</v>
      </c>
      <c r="F20" s="51">
        <v>8912.4978200000005</v>
      </c>
      <c r="G20" s="19">
        <v>2.0858037632344959</v>
      </c>
      <c r="H20" s="18">
        <v>4.350577338723185</v>
      </c>
      <c r="I20" s="51">
        <v>11088.075999999999</v>
      </c>
      <c r="J20" s="91">
        <v>2.4770470783679355</v>
      </c>
      <c r="K20" s="96">
        <v>6.1357622284511253</v>
      </c>
      <c r="L20" s="54">
        <f>12467896.66/1000</f>
        <v>12467.89666</v>
      </c>
      <c r="M20" s="91">
        <f t="shared" si="0"/>
        <v>2.6399984374670877</v>
      </c>
      <c r="N20" s="97">
        <f>M20^2</f>
        <v>6.9695917498286644</v>
      </c>
      <c r="Q20" s="116"/>
      <c r="R20" s="116"/>
      <c r="S20" s="116"/>
      <c r="T20" s="116"/>
      <c r="U20" s="116"/>
    </row>
    <row r="21" spans="2:21" x14ac:dyDescent="0.25">
      <c r="B21" s="48" t="s">
        <v>20</v>
      </c>
      <c r="C21" s="51">
        <v>7735.9340000000002</v>
      </c>
      <c r="D21" s="19">
        <v>1.8465857556559981</v>
      </c>
      <c r="E21" s="18">
        <v>3.4098789529916336</v>
      </c>
      <c r="F21" s="51">
        <v>9127.2720100000024</v>
      </c>
      <c r="G21" s="19">
        <v>2.1266515456437367</v>
      </c>
      <c r="H21" s="18">
        <v>4.5226467965888943</v>
      </c>
      <c r="I21" s="51">
        <v>9710.2307400000009</v>
      </c>
      <c r="J21" s="91">
        <v>2.1692400633613547</v>
      </c>
      <c r="K21" s="96">
        <v>4.7056024524919744</v>
      </c>
      <c r="L21" s="51">
        <f>9970114.26/1000</f>
        <v>9970.1142600000003</v>
      </c>
      <c r="M21" s="91">
        <f t="shared" si="0"/>
        <v>2.1111087768486789</v>
      </c>
      <c r="N21" s="97">
        <f t="shared" si="1"/>
        <v>4.4567802676875257</v>
      </c>
      <c r="Q21" s="116"/>
      <c r="R21" s="116"/>
      <c r="S21" s="116"/>
      <c r="T21" s="116"/>
      <c r="U21" s="116"/>
    </row>
    <row r="22" spans="2:21" x14ac:dyDescent="0.25">
      <c r="B22" s="48" t="s">
        <v>17</v>
      </c>
      <c r="C22" s="51">
        <v>7530.1909999999998</v>
      </c>
      <c r="D22" s="19">
        <v>1.7974744145915666</v>
      </c>
      <c r="E22" s="18">
        <v>3.230914271111295</v>
      </c>
      <c r="F22" s="51">
        <v>8118.3396399999992</v>
      </c>
      <c r="G22" s="19">
        <v>1.899945864146958</v>
      </c>
      <c r="H22" s="18">
        <v>3.609794286689131</v>
      </c>
      <c r="I22" s="51">
        <v>9300.4769299999989</v>
      </c>
      <c r="J22" s="91">
        <v>2.0777021375831914</v>
      </c>
      <c r="K22" s="96">
        <v>4.3168461725177627</v>
      </c>
      <c r="L22" s="51">
        <f>9829667.6/1000</f>
        <v>9829.6675999999989</v>
      </c>
      <c r="M22" s="91">
        <f t="shared" si="0"/>
        <v>2.0813700829006434</v>
      </c>
      <c r="N22" s="97">
        <f t="shared" si="1"/>
        <v>4.3321014219938316</v>
      </c>
      <c r="Q22" s="116"/>
      <c r="R22" s="116"/>
      <c r="S22" s="116"/>
      <c r="T22" s="116"/>
      <c r="U22" s="116"/>
    </row>
    <row r="23" spans="2:21" x14ac:dyDescent="0.25">
      <c r="B23" s="48" t="s">
        <v>13</v>
      </c>
      <c r="C23" s="51">
        <v>14884.678</v>
      </c>
      <c r="D23" s="19">
        <v>3.5530078685167443</v>
      </c>
      <c r="E23" s="18">
        <v>12.623864913741899</v>
      </c>
      <c r="F23" s="51">
        <v>15192.779119999999</v>
      </c>
      <c r="G23" s="19">
        <v>3.5555863802148417</v>
      </c>
      <c r="H23" s="18">
        <v>12.642194507169281</v>
      </c>
      <c r="I23" s="51">
        <v>15356.845369999999</v>
      </c>
      <c r="J23" s="91">
        <v>3.4306789524807235</v>
      </c>
      <c r="K23" s="96">
        <v>11.769558074994235</v>
      </c>
      <c r="L23" s="51">
        <f>9501718.83/1000</f>
        <v>9501.7188299999998</v>
      </c>
      <c r="M23" s="91">
        <f t="shared" si="0"/>
        <v>2.011929000416627</v>
      </c>
      <c r="N23" s="97">
        <f>M23^2</f>
        <v>4.0478583027174482</v>
      </c>
      <c r="Q23" s="116"/>
      <c r="R23" s="117"/>
      <c r="S23" s="118"/>
      <c r="T23" s="118"/>
      <c r="U23" s="119"/>
    </row>
    <row r="24" spans="2:21" x14ac:dyDescent="0.25">
      <c r="B24" s="48" t="s">
        <v>21</v>
      </c>
      <c r="C24" s="51">
        <v>5238.3220000000001</v>
      </c>
      <c r="D24" s="19">
        <v>1.2503998597634673</v>
      </c>
      <c r="E24" s="18">
        <v>1.5634998092964989</v>
      </c>
      <c r="F24" s="51">
        <v>5944.0646100000004</v>
      </c>
      <c r="G24" s="19">
        <v>1.3910973761614884</v>
      </c>
      <c r="H24" s="18">
        <v>1.9351519099633776</v>
      </c>
      <c r="I24" s="51">
        <v>7544.8639000000003</v>
      </c>
      <c r="J24" s="91">
        <v>1.6855027941888843</v>
      </c>
      <c r="K24" s="96">
        <v>2.8409196692185366</v>
      </c>
      <c r="L24" s="51">
        <f>8959663.7/1000</f>
        <v>8959.6636999999992</v>
      </c>
      <c r="M24" s="91">
        <f t="shared" si="0"/>
        <v>1.8971522473487186</v>
      </c>
      <c r="N24" s="97">
        <f t="shared" si="1"/>
        <v>3.5991866496202936</v>
      </c>
    </row>
    <row r="25" spans="2:21" x14ac:dyDescent="0.25">
      <c r="B25" s="48" t="s">
        <v>6</v>
      </c>
      <c r="C25" s="51">
        <v>4792.3667100000002</v>
      </c>
      <c r="D25" s="19">
        <v>1.1439492765276953</v>
      </c>
      <c r="E25" s="18">
        <v>1.3086199472682374</v>
      </c>
      <c r="F25" s="51">
        <v>5858.04349000002</v>
      </c>
      <c r="G25" s="19">
        <v>1.3709657386074265</v>
      </c>
      <c r="H25" s="18">
        <v>1.8795470564354066</v>
      </c>
      <c r="I25" s="51">
        <v>6945.9441100000004</v>
      </c>
      <c r="J25" s="91">
        <v>1.5517056849342006</v>
      </c>
      <c r="K25" s="96">
        <v>2.4077905326571165</v>
      </c>
      <c r="L25" s="54">
        <f>7944877.48/1000</f>
        <v>7944.8774800000001</v>
      </c>
      <c r="M25" s="91">
        <f t="shared" si="0"/>
        <v>1.6822776692045065</v>
      </c>
      <c r="N25" s="97">
        <f t="shared" si="1"/>
        <v>2.8300581563041471</v>
      </c>
    </row>
    <row r="26" spans="2:21" x14ac:dyDescent="0.25">
      <c r="B26" s="48" t="s">
        <v>22</v>
      </c>
      <c r="C26" s="51">
        <v>3749.2460000000001</v>
      </c>
      <c r="D26" s="19">
        <v>0.89495389413227</v>
      </c>
      <c r="E26" s="18">
        <v>0.80094247262251439</v>
      </c>
      <c r="F26" s="51">
        <v>5013.2154900000005</v>
      </c>
      <c r="G26" s="19">
        <v>1.1732495138997372</v>
      </c>
      <c r="H26" s="18">
        <v>1.3765144218659697</v>
      </c>
      <c r="I26" s="51">
        <v>6514.2747900000004</v>
      </c>
      <c r="J26" s="91">
        <v>1.4552718917380614</v>
      </c>
      <c r="K26" s="96">
        <v>2.1178162788828758</v>
      </c>
      <c r="L26" s="51">
        <f>7727164.47/1000</f>
        <v>7727.1644699999997</v>
      </c>
      <c r="M26" s="91">
        <f t="shared" si="0"/>
        <v>1.6361783132433501</v>
      </c>
      <c r="N26" s="97">
        <f t="shared" si="1"/>
        <v>2.6770794727278542</v>
      </c>
    </row>
    <row r="27" spans="2:21" x14ac:dyDescent="0.25">
      <c r="B27" s="48" t="s">
        <v>41</v>
      </c>
      <c r="C27" s="53" t="s">
        <v>37</v>
      </c>
      <c r="D27" s="19" t="s">
        <v>37</v>
      </c>
      <c r="E27" s="18" t="s">
        <v>37</v>
      </c>
      <c r="F27" s="51" t="s">
        <v>37</v>
      </c>
      <c r="G27" s="19" t="s">
        <v>37</v>
      </c>
      <c r="H27" s="18" t="s">
        <v>37</v>
      </c>
      <c r="I27" s="51">
        <v>3346.5571099999997</v>
      </c>
      <c r="J27" s="91">
        <v>0.74761207552301601</v>
      </c>
      <c r="K27" s="96">
        <v>0.55892381546783176</v>
      </c>
      <c r="L27" s="51">
        <f>5759151.29/1000</f>
        <v>5759.1512899999998</v>
      </c>
      <c r="M27" s="91">
        <f t="shared" si="0"/>
        <v>1.2194639417821866</v>
      </c>
      <c r="N27" s="97">
        <f>M27^2</f>
        <v>1.4870923053069482</v>
      </c>
    </row>
    <row r="28" spans="2:21" x14ac:dyDescent="0.25">
      <c r="B28" s="48" t="s">
        <v>4</v>
      </c>
      <c r="C28" s="96">
        <v>758.72805000000005</v>
      </c>
      <c r="D28" s="19">
        <v>0.1811101813364297</v>
      </c>
      <c r="E28" s="18">
        <v>3.280089778371445E-2</v>
      </c>
      <c r="F28" s="51">
        <v>845.18866012300009</v>
      </c>
      <c r="G28" s="19">
        <v>0.19780063047776147</v>
      </c>
      <c r="H28" s="18">
        <v>3.9125089417399943E-2</v>
      </c>
      <c r="I28" s="51">
        <v>669.79200000000003</v>
      </c>
      <c r="J28" s="91">
        <v>0.14962977496855329</v>
      </c>
      <c r="K28" s="96">
        <v>2.2389069557139894E-2</v>
      </c>
      <c r="L28" s="54">
        <f>718585.31/1000</f>
        <v>718.58531000000005</v>
      </c>
      <c r="M28" s="91">
        <f t="shared" si="0"/>
        <v>0.15215590466618473</v>
      </c>
      <c r="N28" s="97">
        <f t="shared" si="1"/>
        <v>2.3151419324785094E-2</v>
      </c>
    </row>
    <row r="29" spans="2:21" x14ac:dyDescent="0.25">
      <c r="B29" s="48" t="s">
        <v>7</v>
      </c>
      <c r="C29" s="96">
        <v>14.949</v>
      </c>
      <c r="D29" s="19">
        <v>3.5683616821577738E-3</v>
      </c>
      <c r="E29" s="18">
        <v>1.2733205094691857E-5</v>
      </c>
      <c r="F29" s="51">
        <v>13.8598</v>
      </c>
      <c r="G29" s="19">
        <v>3.2436274971989233E-3</v>
      </c>
      <c r="H29" s="18">
        <v>1.0521119340584952E-5</v>
      </c>
      <c r="I29" s="51">
        <v>13.033010000000001</v>
      </c>
      <c r="J29" s="91">
        <v>2.9115402295980014E-3</v>
      </c>
      <c r="K29" s="96">
        <v>8.477066508567583E-6</v>
      </c>
      <c r="L29" s="51">
        <f>23932.29/1000</f>
        <v>23.932290000000002</v>
      </c>
      <c r="M29" s="91">
        <f t="shared" si="0"/>
        <v>5.0675113796627511E-3</v>
      </c>
      <c r="N29" s="97">
        <f t="shared" si="1"/>
        <v>2.5679671583011478E-5</v>
      </c>
    </row>
    <row r="30" spans="2:21" x14ac:dyDescent="0.25">
      <c r="B30" s="48" t="s">
        <v>49</v>
      </c>
      <c r="C30" s="51">
        <v>1316.48305</v>
      </c>
      <c r="D30" s="19">
        <v>0.31424761996322137</v>
      </c>
      <c r="E30" s="18">
        <v>9.8751566652549208E-2</v>
      </c>
      <c r="F30" s="51">
        <v>0</v>
      </c>
      <c r="G30" s="19">
        <v>0</v>
      </c>
      <c r="H30" s="18">
        <v>0</v>
      </c>
      <c r="I30" s="51">
        <v>0</v>
      </c>
      <c r="J30" s="91">
        <v>0</v>
      </c>
      <c r="K30" s="96">
        <v>0</v>
      </c>
      <c r="L30" s="42">
        <v>0</v>
      </c>
      <c r="M30" s="91">
        <f t="shared" si="0"/>
        <v>0</v>
      </c>
      <c r="N30" s="97">
        <f t="shared" si="1"/>
        <v>0</v>
      </c>
    </row>
    <row r="31" spans="2:21" ht="16.5" thickBot="1" x14ac:dyDescent="0.3">
      <c r="B31" s="17" t="s">
        <v>3</v>
      </c>
      <c r="C31" s="20">
        <f>SUM(C6:C30)</f>
        <v>418931.44884000003</v>
      </c>
      <c r="D31" s="21">
        <v>100.00000000000001</v>
      </c>
      <c r="E31" s="21">
        <v>722.94424020402721</v>
      </c>
      <c r="F31" s="20">
        <v>427255.53218012291</v>
      </c>
      <c r="G31" s="21">
        <v>100.00000000000001</v>
      </c>
      <c r="H31" s="21">
        <v>711.67790194787699</v>
      </c>
      <c r="I31" s="93">
        <v>447632.83253000007</v>
      </c>
      <c r="J31" s="94">
        <v>100</v>
      </c>
      <c r="K31" s="94">
        <v>681.88080798303815</v>
      </c>
      <c r="L31" s="93">
        <f>SUM(L6:L30)</f>
        <v>472269.09240000014</v>
      </c>
      <c r="M31" s="94">
        <f>SUM(M6:M30)</f>
        <v>99.999999999999986</v>
      </c>
      <c r="N31" s="98">
        <f>SUM(N6:N30)</f>
        <v>649.38563113742589</v>
      </c>
    </row>
    <row r="33" spans="2:14" ht="16.5" thickBot="1" x14ac:dyDescent="0.3">
      <c r="B33" s="6"/>
      <c r="C33" s="110"/>
      <c r="D33" s="110"/>
      <c r="E33" s="110"/>
      <c r="F33" s="110"/>
      <c r="G33" s="110"/>
      <c r="H33" s="110"/>
      <c r="I33" s="110"/>
      <c r="J33" s="110"/>
      <c r="K33" s="110"/>
      <c r="L33" s="112"/>
      <c r="M33" s="110"/>
      <c r="N33" s="110"/>
    </row>
    <row r="34" spans="2:14" x14ac:dyDescent="0.25">
      <c r="B34" s="130"/>
      <c r="C34" s="131"/>
      <c r="D34" s="33" t="s">
        <v>32</v>
      </c>
      <c r="E34" s="33" t="s">
        <v>34</v>
      </c>
      <c r="F34" s="33" t="s">
        <v>36</v>
      </c>
      <c r="G34" s="34" t="s">
        <v>51</v>
      </c>
      <c r="I34" s="31" t="s">
        <v>57</v>
      </c>
      <c r="L34" s="30"/>
    </row>
    <row r="35" spans="2:14" x14ac:dyDescent="0.25">
      <c r="B35" s="145" t="s">
        <v>27</v>
      </c>
      <c r="C35" s="146"/>
      <c r="D35" s="47">
        <v>0.41911138717981927</v>
      </c>
      <c r="E35" s="47">
        <v>0.4274323215909841</v>
      </c>
      <c r="F35" s="47">
        <v>0.41896027139035014</v>
      </c>
      <c r="G35" s="71">
        <f>SUM(M6:M9)/100</f>
        <v>0.38406686859019179</v>
      </c>
    </row>
    <row r="36" spans="2:14" ht="16.5" thickBot="1" x14ac:dyDescent="0.3">
      <c r="B36" s="132" t="s">
        <v>0</v>
      </c>
      <c r="C36" s="133"/>
      <c r="D36" s="43">
        <v>722.94424020402721</v>
      </c>
      <c r="E36" s="43">
        <v>711.67790194787699</v>
      </c>
      <c r="F36" s="43">
        <v>681.88080798303815</v>
      </c>
      <c r="G36" s="72">
        <v>649.38563113742589</v>
      </c>
      <c r="I36" s="31" t="s">
        <v>58</v>
      </c>
    </row>
    <row r="38" spans="2:14" x14ac:dyDescent="0.25">
      <c r="I38" s="31" t="s">
        <v>48</v>
      </c>
      <c r="L38" s="60"/>
      <c r="M38" s="50"/>
      <c r="N38" s="50"/>
    </row>
    <row r="39" spans="2:14" x14ac:dyDescent="0.25">
      <c r="I39" s="31" t="s">
        <v>38</v>
      </c>
      <c r="L39" s="64"/>
    </row>
    <row r="40" spans="2:14" x14ac:dyDescent="0.25">
      <c r="C40" s="7"/>
      <c r="F40" s="8"/>
    </row>
    <row r="41" spans="2:14" x14ac:dyDescent="0.25">
      <c r="C41" s="7"/>
      <c r="F41" s="8"/>
      <c r="I41" s="31" t="s">
        <v>63</v>
      </c>
    </row>
    <row r="42" spans="2:14" x14ac:dyDescent="0.25">
      <c r="F42" s="8"/>
    </row>
    <row r="43" spans="2:14" x14ac:dyDescent="0.25">
      <c r="F43" s="8"/>
      <c r="I43" s="31" t="s">
        <v>60</v>
      </c>
    </row>
    <row r="44" spans="2:14" x14ac:dyDescent="0.25">
      <c r="F44" s="8"/>
      <c r="I44" s="28" t="s">
        <v>62</v>
      </c>
    </row>
    <row r="45" spans="2:14" x14ac:dyDescent="0.25">
      <c r="F45" s="8"/>
    </row>
    <row r="46" spans="2:14" x14ac:dyDescent="0.25">
      <c r="F46" s="9"/>
    </row>
    <row r="60" spans="9:10" x14ac:dyDescent="0.25">
      <c r="I60" s="63"/>
      <c r="J60" s="8"/>
    </row>
  </sheetData>
  <mergeCells count="9">
    <mergeCell ref="B2:N2"/>
    <mergeCell ref="L4:N4"/>
    <mergeCell ref="B34:C34"/>
    <mergeCell ref="B36:C36"/>
    <mergeCell ref="B4:B5"/>
    <mergeCell ref="C4:E4"/>
    <mergeCell ref="F4:H4"/>
    <mergeCell ref="I4:K4"/>
    <mergeCell ref="B35:C35"/>
  </mergeCells>
  <phoneticPr fontId="23" type="noConversion"/>
  <pageMargins left="0.39370078740157483" right="0.39370078740157483" top="0.39370078740157483" bottom="0.39370078740157483" header="0.19685039370078741" footer="0.19685039370078741"/>
  <pageSetup paperSize="9" scale="61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31.12.2015. godine.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5"/>
  <sheetViews>
    <sheetView showGridLines="0" showRuler="0" view="pageLayout" zoomScaleNormal="100" workbookViewId="0">
      <selection activeCell="B2" sqref="B2:N2"/>
    </sheetView>
  </sheetViews>
  <sheetFormatPr defaultColWidth="10.42578125" defaultRowHeight="15.75" x14ac:dyDescent="0.25"/>
  <cols>
    <col min="1" max="1" width="3.5703125" style="5" customWidth="1"/>
    <col min="2" max="2" width="29.42578125" style="5" customWidth="1"/>
    <col min="3" max="3" width="17.5703125" style="5" customWidth="1"/>
    <col min="4" max="4" width="7.85546875" style="5" customWidth="1"/>
    <col min="5" max="5" width="7.5703125" style="5" customWidth="1"/>
    <col min="6" max="6" width="17.5703125" style="5" customWidth="1"/>
    <col min="7" max="7" width="7.85546875" style="5" customWidth="1"/>
    <col min="8" max="8" width="7.5703125" style="5" customWidth="1"/>
    <col min="9" max="9" width="17.5703125" style="5" customWidth="1"/>
    <col min="10" max="10" width="7.85546875" style="5" customWidth="1"/>
    <col min="11" max="11" width="7.5703125" style="5" customWidth="1"/>
    <col min="12" max="12" width="17.5703125" style="5" customWidth="1"/>
    <col min="13" max="13" width="7.85546875" style="5" customWidth="1"/>
    <col min="14" max="14" width="7.5703125" style="5" customWidth="1"/>
    <col min="15" max="16384" width="10.42578125" style="5"/>
  </cols>
  <sheetData>
    <row r="2" spans="2:14" x14ac:dyDescent="0.25">
      <c r="B2" s="138" t="s">
        <v>30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40"/>
    </row>
    <row r="3" spans="2:14" ht="16.5" thickBot="1" x14ac:dyDescent="0.3">
      <c r="B3" s="35"/>
    </row>
    <row r="4" spans="2:14" x14ac:dyDescent="0.25">
      <c r="B4" s="143" t="s">
        <v>55</v>
      </c>
      <c r="C4" s="141" t="s">
        <v>32</v>
      </c>
      <c r="D4" s="141"/>
      <c r="E4" s="141"/>
      <c r="F4" s="141" t="s">
        <v>34</v>
      </c>
      <c r="G4" s="141"/>
      <c r="H4" s="141"/>
      <c r="I4" s="141" t="s">
        <v>44</v>
      </c>
      <c r="J4" s="141"/>
      <c r="K4" s="141"/>
      <c r="L4" s="141" t="s">
        <v>45</v>
      </c>
      <c r="M4" s="141"/>
      <c r="N4" s="142"/>
    </row>
    <row r="5" spans="2:14" ht="42" customHeight="1" x14ac:dyDescent="0.25">
      <c r="B5" s="144"/>
      <c r="C5" s="13" t="s">
        <v>56</v>
      </c>
      <c r="D5" s="13" t="s">
        <v>2</v>
      </c>
      <c r="E5" s="14" t="s">
        <v>0</v>
      </c>
      <c r="F5" s="13" t="s">
        <v>56</v>
      </c>
      <c r="G5" s="13" t="s">
        <v>2</v>
      </c>
      <c r="H5" s="14" t="s">
        <v>0</v>
      </c>
      <c r="I5" s="85" t="s">
        <v>56</v>
      </c>
      <c r="J5" s="85" t="s">
        <v>2</v>
      </c>
      <c r="K5" s="86" t="s">
        <v>0</v>
      </c>
      <c r="L5" s="85" t="s">
        <v>56</v>
      </c>
      <c r="M5" s="85" t="s">
        <v>2</v>
      </c>
      <c r="N5" s="87" t="s">
        <v>0</v>
      </c>
    </row>
    <row r="6" spans="2:14" x14ac:dyDescent="0.25">
      <c r="B6" s="55" t="s">
        <v>33</v>
      </c>
      <c r="C6" s="58">
        <v>64552.11924</v>
      </c>
      <c r="D6" s="22">
        <v>12.780251496116019</v>
      </c>
      <c r="E6" s="23">
        <v>163.33482830397574</v>
      </c>
      <c r="F6" s="58">
        <v>64750.625318999999</v>
      </c>
      <c r="G6" s="22">
        <v>12.288848641390205</v>
      </c>
      <c r="H6" s="23">
        <v>151.01580093099787</v>
      </c>
      <c r="I6" s="58">
        <v>64518.253640000003</v>
      </c>
      <c r="J6" s="99">
        <v>11.477852069048884</v>
      </c>
      <c r="K6" s="76">
        <v>131.74108811896974</v>
      </c>
      <c r="L6" s="58">
        <f>'HHI - Životno'!L13+'HHI - Neživotno'!L6</f>
        <v>60322.233910000003</v>
      </c>
      <c r="M6" s="99">
        <f t="shared" ref="M6:M31" si="0">L6/L$32*100</f>
        <v>10.124534902977036</v>
      </c>
      <c r="N6" s="100">
        <f t="shared" ref="N6:N31" si="1">M6^2</f>
        <v>102.50620700160022</v>
      </c>
    </row>
    <row r="7" spans="2:14" x14ac:dyDescent="0.25">
      <c r="B7" s="55" t="s">
        <v>11</v>
      </c>
      <c r="C7" s="59">
        <v>41999.219409999998</v>
      </c>
      <c r="D7" s="22">
        <v>8.3151505019489953</v>
      </c>
      <c r="E7" s="23">
        <v>69.141727870062624</v>
      </c>
      <c r="F7" s="58">
        <v>44700.226000000002</v>
      </c>
      <c r="G7" s="22">
        <v>8.4809172189479813</v>
      </c>
      <c r="H7" s="23">
        <v>71.925956874648364</v>
      </c>
      <c r="I7" s="58">
        <v>48712.479679999997</v>
      </c>
      <c r="J7" s="99">
        <v>8.6659914696908356</v>
      </c>
      <c r="K7" s="76">
        <v>75.099408152754322</v>
      </c>
      <c r="L7" s="58">
        <f>'HHI - Neživotno'!L7</f>
        <v>53375.714260000001</v>
      </c>
      <c r="M7" s="99">
        <f t="shared" si="0"/>
        <v>8.9586251530899084</v>
      </c>
      <c r="N7" s="100">
        <f>M7^2</f>
        <v>80.25696463357518</v>
      </c>
    </row>
    <row r="8" spans="2:14" x14ac:dyDescent="0.25">
      <c r="B8" s="55" t="s">
        <v>5</v>
      </c>
      <c r="C8" s="59">
        <v>41706.738010000001</v>
      </c>
      <c r="D8" s="22">
        <v>8.2572836209911635</v>
      </c>
      <c r="E8" s="23">
        <v>68.182732797488939</v>
      </c>
      <c r="F8" s="58">
        <v>48172.323579999997</v>
      </c>
      <c r="G8" s="22">
        <v>9.1396359459773659</v>
      </c>
      <c r="H8" s="23">
        <v>83.532945225001583</v>
      </c>
      <c r="I8" s="58">
        <v>49598.451484999998</v>
      </c>
      <c r="J8" s="99">
        <v>8.8236066055852387</v>
      </c>
      <c r="K8" s="76">
        <v>77.856033530127462</v>
      </c>
      <c r="L8" s="58">
        <f>'HHI - Životno'!L6+'HHI - Neživotno'!L14</f>
        <v>53195.65595</v>
      </c>
      <c r="M8" s="99">
        <f t="shared" si="0"/>
        <v>8.9284040136194101</v>
      </c>
      <c r="N8" s="100">
        <f t="shared" si="1"/>
        <v>79.716398230415194</v>
      </c>
    </row>
    <row r="9" spans="2:14" x14ac:dyDescent="0.25">
      <c r="B9" s="55" t="s">
        <v>28</v>
      </c>
      <c r="C9" s="58">
        <v>43971.056830000001</v>
      </c>
      <c r="D9" s="22">
        <v>8.7055416840472724</v>
      </c>
      <c r="E9" s="23">
        <v>75.786456012684624</v>
      </c>
      <c r="F9" s="58">
        <v>45626.790569999997</v>
      </c>
      <c r="G9" s="22">
        <v>8.660280040511708</v>
      </c>
      <c r="H9" s="23">
        <v>75.000450380085468</v>
      </c>
      <c r="I9" s="58">
        <v>45280.753380000002</v>
      </c>
      <c r="J9" s="99">
        <v>8.0554844489545481</v>
      </c>
      <c r="K9" s="76">
        <v>64.890829707348558</v>
      </c>
      <c r="L9" s="58">
        <f>'HHI - Životno'!L12+'HHI - Neživotno'!L8</f>
        <v>46981.227450000006</v>
      </c>
      <c r="M9" s="99">
        <f t="shared" si="0"/>
        <v>7.8853690632862001</v>
      </c>
      <c r="N9" s="100">
        <f t="shared" si="1"/>
        <v>62.179045264231085</v>
      </c>
    </row>
    <row r="10" spans="2:14" x14ac:dyDescent="0.25">
      <c r="B10" s="55" t="s">
        <v>9</v>
      </c>
      <c r="C10" s="58">
        <v>32616.429660000002</v>
      </c>
      <c r="D10" s="24">
        <v>6.4575133840358472</v>
      </c>
      <c r="E10" s="23">
        <v>41.699479105002098</v>
      </c>
      <c r="F10" s="58">
        <v>31896.686051000001</v>
      </c>
      <c r="G10" s="24">
        <v>6.0517178136259036</v>
      </c>
      <c r="H10" s="23">
        <v>36.623288495757087</v>
      </c>
      <c r="I10" s="58">
        <v>33375.148930000003</v>
      </c>
      <c r="J10" s="101">
        <v>5.9374673148858523</v>
      </c>
      <c r="K10" s="76">
        <v>35.253518115337812</v>
      </c>
      <c r="L10" s="58">
        <f>'HHI - Životno'!L10+'HHI - Neživotno'!L11</f>
        <v>35856.122089999997</v>
      </c>
      <c r="M10" s="102">
        <f t="shared" si="0"/>
        <v>6.018121943680697</v>
      </c>
      <c r="N10" s="100">
        <f>M10^2</f>
        <v>36.217791729011132</v>
      </c>
    </row>
    <row r="11" spans="2:14" x14ac:dyDescent="0.25">
      <c r="B11" s="55" t="s">
        <v>8</v>
      </c>
      <c r="C11" s="59">
        <v>36401.777289999998</v>
      </c>
      <c r="D11" s="24">
        <v>7.2069891771085999</v>
      </c>
      <c r="E11" s="23">
        <v>51.940692998960493</v>
      </c>
      <c r="F11" s="58">
        <v>40407.80775</v>
      </c>
      <c r="G11" s="24">
        <v>7.6665221452552528</v>
      </c>
      <c r="H11" s="23">
        <v>58.7755618036892</v>
      </c>
      <c r="I11" s="58">
        <v>43517.545319999997</v>
      </c>
      <c r="J11" s="101">
        <v>7.7418082389232286</v>
      </c>
      <c r="K11" s="76">
        <v>59.93559480825958</v>
      </c>
      <c r="L11" s="58">
        <f>'HHI - Životno'!L11+'HHI - Neživotno'!L10</f>
        <v>43253.323569999993</v>
      </c>
      <c r="M11" s="102">
        <f t="shared" si="0"/>
        <v>7.259674514169931</v>
      </c>
      <c r="N11" s="100">
        <f t="shared" si="1"/>
        <v>52.702874051688426</v>
      </c>
    </row>
    <row r="12" spans="2:14" x14ac:dyDescent="0.25">
      <c r="B12" s="65" t="s">
        <v>46</v>
      </c>
      <c r="C12" s="58">
        <v>30763.647000000001</v>
      </c>
      <c r="D12" s="24">
        <v>6.0907524695107735</v>
      </c>
      <c r="E12" s="23">
        <v>37.097265644851589</v>
      </c>
      <c r="F12" s="58">
        <v>23253.390009999999</v>
      </c>
      <c r="G12" s="24">
        <v>4.4117982658807628</v>
      </c>
      <c r="H12" s="23">
        <v>19.463963938828506</v>
      </c>
      <c r="I12" s="58">
        <v>27161.39503</v>
      </c>
      <c r="J12" s="101">
        <v>4.8320352234403652</v>
      </c>
      <c r="K12" s="76">
        <v>23.348564400568378</v>
      </c>
      <c r="L12" s="58">
        <f>'HHI - Životno'!L14+'HHI - Neživotno'!L9</f>
        <v>31658.339310000003</v>
      </c>
      <c r="M12" s="102">
        <f t="shared" si="0"/>
        <v>5.3135625214511375</v>
      </c>
      <c r="N12" s="100">
        <f>M12^2</f>
        <v>28.23394666937017</v>
      </c>
    </row>
    <row r="13" spans="2:14" x14ac:dyDescent="0.25">
      <c r="B13" s="55" t="s">
        <v>6</v>
      </c>
      <c r="C13" s="58">
        <v>22859.405400000003</v>
      </c>
      <c r="D13" s="24">
        <v>4.5257840254242385</v>
      </c>
      <c r="E13" s="23">
        <v>20.482721044785226</v>
      </c>
      <c r="F13" s="58">
        <v>25607.997739999999</v>
      </c>
      <c r="G13" s="24">
        <v>4.8585729516433984</v>
      </c>
      <c r="H13" s="23">
        <v>23.605731126440844</v>
      </c>
      <c r="I13" s="58">
        <v>28294.715780000002</v>
      </c>
      <c r="J13" s="101">
        <v>5.0336539465364103</v>
      </c>
      <c r="K13" s="76">
        <v>25.33767205348158</v>
      </c>
      <c r="L13" s="58">
        <f>'HHI - Životno'!L8+'HHI - Neživotno'!L25</f>
        <v>30141.703799999999</v>
      </c>
      <c r="M13" s="102">
        <f t="shared" si="0"/>
        <v>5.0590091310876568</v>
      </c>
      <c r="N13" s="100">
        <f>M13^2</f>
        <v>25.59357338842829</v>
      </c>
    </row>
    <row r="14" spans="2:14" x14ac:dyDescent="0.25">
      <c r="B14" s="55" t="s">
        <v>4</v>
      </c>
      <c r="C14" s="58">
        <v>22616.649379999999</v>
      </c>
      <c r="D14" s="24">
        <v>4.4777223502333516</v>
      </c>
      <c r="E14" s="23">
        <v>20.04999744577929</v>
      </c>
      <c r="F14" s="58">
        <v>26260.6159701219</v>
      </c>
      <c r="G14" s="24">
        <v>4.9823744083411405</v>
      </c>
      <c r="H14" s="23">
        <v>24.824054744892731</v>
      </c>
      <c r="I14" s="58">
        <v>30043.7262899993</v>
      </c>
      <c r="J14" s="101">
        <v>5.344804400375379</v>
      </c>
      <c r="K14" s="76">
        <v>28.566934078272013</v>
      </c>
      <c r="L14" s="58">
        <f>'HHI - Životno'!L7+'HHI - Neživotno'!L28</f>
        <v>29662.86579</v>
      </c>
      <c r="M14" s="102">
        <f t="shared" si="0"/>
        <v>4.9786405533531148</v>
      </c>
      <c r="N14" s="100">
        <f t="shared" si="1"/>
        <v>24.786861759492208</v>
      </c>
    </row>
    <row r="15" spans="2:14" x14ac:dyDescent="0.25">
      <c r="B15" s="55" t="s">
        <v>14</v>
      </c>
      <c r="C15" s="58">
        <v>14922.084000000001</v>
      </c>
      <c r="D15" s="24">
        <v>2.9543257233295583</v>
      </c>
      <c r="E15" s="23">
        <v>8.7280404795267188</v>
      </c>
      <c r="F15" s="58">
        <v>16908.348279999998</v>
      </c>
      <c r="G15" s="24">
        <v>3.2079805140157363</v>
      </c>
      <c r="H15" s="23">
        <v>10.291138978304668</v>
      </c>
      <c r="I15" s="58">
        <v>19076.537479999999</v>
      </c>
      <c r="J15" s="101">
        <v>3.393732204948543</v>
      </c>
      <c r="K15" s="76">
        <v>11.5174182789049</v>
      </c>
      <c r="L15" s="58">
        <f>'HHI - Neživotno'!L12</f>
        <v>23296.826649999999</v>
      </c>
      <c r="M15" s="101">
        <f t="shared" si="0"/>
        <v>3.9101591446106725</v>
      </c>
      <c r="N15" s="100">
        <f>M15^2</f>
        <v>15.289344536182465</v>
      </c>
    </row>
    <row r="16" spans="2:14" x14ac:dyDescent="0.25">
      <c r="B16" s="55" t="s">
        <v>12</v>
      </c>
      <c r="C16" s="58">
        <v>24483.962</v>
      </c>
      <c r="D16" s="24">
        <v>4.8474193514540875</v>
      </c>
      <c r="E16" s="23">
        <v>23.497474368851567</v>
      </c>
      <c r="F16" s="58">
        <v>23086.074800000002</v>
      </c>
      <c r="G16" s="24">
        <v>4.3800917089153213</v>
      </c>
      <c r="H16" s="23">
        <v>19.185203378508739</v>
      </c>
      <c r="I16" s="58">
        <v>22317.209010000002</v>
      </c>
      <c r="J16" s="101">
        <v>3.9702504199837008</v>
      </c>
      <c r="K16" s="76">
        <v>15.762888397380753</v>
      </c>
      <c r="L16" s="58">
        <f>'HHI - Neživotno'!L13</f>
        <v>23264.16676</v>
      </c>
      <c r="M16" s="102">
        <f t="shared" si="0"/>
        <v>3.9046774809719271</v>
      </c>
      <c r="N16" s="100">
        <f t="shared" si="1"/>
        <v>15.246506230409274</v>
      </c>
    </row>
    <row r="17" spans="2:14" x14ac:dyDescent="0.25">
      <c r="B17" s="55" t="s">
        <v>15</v>
      </c>
      <c r="C17" s="58">
        <v>14700.50144</v>
      </c>
      <c r="D17" s="24">
        <v>2.9104560428714388</v>
      </c>
      <c r="E17" s="23">
        <v>8.470754377486875</v>
      </c>
      <c r="F17" s="58">
        <v>16609.914049999999</v>
      </c>
      <c r="G17" s="24">
        <v>3.1585876305460068</v>
      </c>
      <c r="H17" s="23">
        <v>9.9766758198382366</v>
      </c>
      <c r="I17" s="58">
        <v>17312.318139999999</v>
      </c>
      <c r="J17" s="101">
        <v>3.0798760873471083</v>
      </c>
      <c r="K17" s="76">
        <v>9.4856367134125321</v>
      </c>
      <c r="L17" s="58">
        <f>'HHI - Neživotno'!L15</f>
        <v>19241.775539999999</v>
      </c>
      <c r="M17" s="101">
        <f t="shared" si="0"/>
        <v>3.229555926934665</v>
      </c>
      <c r="N17" s="100">
        <f>M17^2</f>
        <v>10.430031485198823</v>
      </c>
    </row>
    <row r="18" spans="2:14" x14ac:dyDescent="0.25">
      <c r="B18" s="56" t="s">
        <v>10</v>
      </c>
      <c r="C18" s="59">
        <v>18088.951999999997</v>
      </c>
      <c r="D18" s="24">
        <v>3.5813131866617063</v>
      </c>
      <c r="E18" s="23">
        <v>12.825804140957025</v>
      </c>
      <c r="F18" s="58">
        <v>17875.727579999999</v>
      </c>
      <c r="G18" s="24">
        <v>3.3915391352707096</v>
      </c>
      <c r="H18" s="23">
        <v>11.502537706072793</v>
      </c>
      <c r="I18" s="58">
        <v>16700.408460000002</v>
      </c>
      <c r="J18" s="101">
        <v>2.9710168360436189</v>
      </c>
      <c r="K18" s="76">
        <v>8.8269410400546349</v>
      </c>
      <c r="L18" s="58">
        <f>'HHI - Životno'!L15+'HHI - Neživotno'!L16</f>
        <v>18749.908289999999</v>
      </c>
      <c r="M18" s="101">
        <f t="shared" si="0"/>
        <v>3.1470005105075098</v>
      </c>
      <c r="N18" s="100">
        <f t="shared" si="1"/>
        <v>9.9036122131345277</v>
      </c>
    </row>
    <row r="19" spans="2:14" x14ac:dyDescent="0.25">
      <c r="B19" s="55" t="s">
        <v>18</v>
      </c>
      <c r="C19" s="58">
        <v>10028.18844</v>
      </c>
      <c r="D19" s="24">
        <v>1.9854153794260987</v>
      </c>
      <c r="E19" s="23">
        <v>3.9418742288616793</v>
      </c>
      <c r="F19" s="58">
        <v>10800.29269</v>
      </c>
      <c r="G19" s="24">
        <v>2.049232849104845</v>
      </c>
      <c r="H19" s="23">
        <v>4.1993552698503605</v>
      </c>
      <c r="I19" s="58">
        <v>12299.3405800006</v>
      </c>
      <c r="J19" s="101">
        <v>2.1880631256977217</v>
      </c>
      <c r="K19" s="76">
        <v>4.7876202420380833</v>
      </c>
      <c r="L19" s="58">
        <f>'HHI - Neživotno'!L17</f>
        <v>16716.91865</v>
      </c>
      <c r="M19" s="101">
        <f t="shared" si="0"/>
        <v>2.8057818050086323</v>
      </c>
      <c r="N19" s="100">
        <f>M19^2</f>
        <v>7.8724115373174985</v>
      </c>
    </row>
    <row r="20" spans="2:14" x14ac:dyDescent="0.25">
      <c r="B20" s="55" t="s">
        <v>16</v>
      </c>
      <c r="C20" s="58">
        <v>12285.731</v>
      </c>
      <c r="D20" s="24">
        <v>2.4323714518164739</v>
      </c>
      <c r="E20" s="23">
        <v>5.9164308796117808</v>
      </c>
      <c r="F20" s="58">
        <v>13259.36598</v>
      </c>
      <c r="G20" s="24">
        <v>2.5156827003987647</v>
      </c>
      <c r="H20" s="23">
        <v>6.3286594490856212</v>
      </c>
      <c r="I20" s="58">
        <v>14017.231099999999</v>
      </c>
      <c r="J20" s="101">
        <v>2.4936773069090679</v>
      </c>
      <c r="K20" s="76">
        <v>6.218426510993261</v>
      </c>
      <c r="L20" s="58">
        <f>'HHI - Neživotno'!L18</f>
        <v>15445.11794</v>
      </c>
      <c r="M20" s="101">
        <f t="shared" si="0"/>
        <v>2.5923216951387396</v>
      </c>
      <c r="N20" s="100">
        <f>M20^2</f>
        <v>6.7201317710869883</v>
      </c>
    </row>
    <row r="21" spans="2:14" x14ac:dyDescent="0.25">
      <c r="B21" s="55" t="s">
        <v>7</v>
      </c>
      <c r="C21" s="58">
        <v>10269.93</v>
      </c>
      <c r="D21" s="24">
        <v>2.033276208322774</v>
      </c>
      <c r="E21" s="23">
        <v>4.1342121393314368</v>
      </c>
      <c r="F21" s="58">
        <v>11458.136189999999</v>
      </c>
      <c r="G21" s="24">
        <v>2.1739376555013838</v>
      </c>
      <c r="H21" s="23">
        <v>4.7260049300068534</v>
      </c>
      <c r="I21" s="58">
        <v>13019.08092</v>
      </c>
      <c r="J21" s="101">
        <v>2.3161055429140229</v>
      </c>
      <c r="K21" s="76">
        <v>5.3643448859170606</v>
      </c>
      <c r="L21" s="58">
        <f>'HHI - Životno'!L9+'HHI - Neživotno'!L29</f>
        <v>15262.426030000001</v>
      </c>
      <c r="M21" s="101">
        <f t="shared" si="0"/>
        <v>2.5616585300105013</v>
      </c>
      <c r="N21" s="100">
        <f>M21^2</f>
        <v>6.5620944243755623</v>
      </c>
    </row>
    <row r="22" spans="2:14" x14ac:dyDescent="0.25">
      <c r="B22" s="55" t="s">
        <v>23</v>
      </c>
      <c r="C22" s="59">
        <v>14213.268</v>
      </c>
      <c r="D22" s="24">
        <v>2.8139918837728608</v>
      </c>
      <c r="E22" s="23">
        <v>7.9185503219395335</v>
      </c>
      <c r="F22" s="58">
        <v>14049.27666</v>
      </c>
      <c r="G22" s="24">
        <v>2.6655514524592778</v>
      </c>
      <c r="H22" s="23">
        <v>7.1051645457077655</v>
      </c>
      <c r="I22" s="58">
        <v>14004.945760000001</v>
      </c>
      <c r="J22" s="101">
        <v>2.4914917344984322</v>
      </c>
      <c r="K22" s="76">
        <v>6.2075310630740059</v>
      </c>
      <c r="L22" s="58">
        <f>'HHI - Neživotno'!L19</f>
        <v>15162.815420000001</v>
      </c>
      <c r="M22" s="101">
        <f t="shared" si="0"/>
        <v>2.5449398007413482</v>
      </c>
      <c r="N22" s="100">
        <f t="shared" si="1"/>
        <v>6.4767185893974126</v>
      </c>
    </row>
    <row r="23" spans="2:14" x14ac:dyDescent="0.25">
      <c r="B23" s="55" t="s">
        <v>19</v>
      </c>
      <c r="C23" s="58">
        <v>8010.0919999999996</v>
      </c>
      <c r="D23" s="24">
        <v>1.585865676793959</v>
      </c>
      <c r="E23" s="23">
        <v>2.5149699448331613</v>
      </c>
      <c r="F23" s="58">
        <v>8912.4978200000005</v>
      </c>
      <c r="G23" s="24">
        <v>1.6909569143000382</v>
      </c>
      <c r="H23" s="23">
        <v>2.8593352860191068</v>
      </c>
      <c r="I23" s="58">
        <v>11088.07597</v>
      </c>
      <c r="J23" s="101">
        <v>1.9725781237688769</v>
      </c>
      <c r="K23" s="76">
        <v>3.8910644543715427</v>
      </c>
      <c r="L23" s="58">
        <f>'HHI - Neživotno'!L20</f>
        <v>12467.89666</v>
      </c>
      <c r="M23" s="101">
        <f t="shared" si="0"/>
        <v>2.0926223503131003</v>
      </c>
      <c r="N23" s="100">
        <f>M23^2</f>
        <v>4.3790683010299238</v>
      </c>
    </row>
    <row r="24" spans="2:14" x14ac:dyDescent="0.25">
      <c r="B24" s="55" t="s">
        <v>20</v>
      </c>
      <c r="C24" s="58">
        <v>7735.9340000000002</v>
      </c>
      <c r="D24" s="24">
        <v>1.5315869291567936</v>
      </c>
      <c r="E24" s="23">
        <v>2.3457585215639369</v>
      </c>
      <c r="F24" s="58">
        <v>9127.0376199999992</v>
      </c>
      <c r="G24" s="24">
        <v>1.7240721293150973</v>
      </c>
      <c r="H24" s="23">
        <v>2.9724247070810939</v>
      </c>
      <c r="I24" s="58">
        <v>9710.2307400000009</v>
      </c>
      <c r="J24" s="101">
        <v>1.7274582881913709</v>
      </c>
      <c r="K24" s="76">
        <v>2.9841121374410617</v>
      </c>
      <c r="L24" s="58">
        <f>'HHI - Neživotno'!L21</f>
        <v>9970.1142600000003</v>
      </c>
      <c r="M24" s="101">
        <f t="shared" si="0"/>
        <v>1.6733924337524428</v>
      </c>
      <c r="N24" s="100">
        <f t="shared" si="1"/>
        <v>2.8002422373399236</v>
      </c>
    </row>
    <row r="25" spans="2:14" x14ac:dyDescent="0.25">
      <c r="B25" s="57" t="s">
        <v>17</v>
      </c>
      <c r="C25" s="58">
        <v>7530.0910000000003</v>
      </c>
      <c r="D25" s="24">
        <v>1.4908532194889621</v>
      </c>
      <c r="E25" s="23">
        <v>2.2226433220606032</v>
      </c>
      <c r="F25" s="58">
        <v>8118.3396399999992</v>
      </c>
      <c r="G25" s="24">
        <v>1.540282289448468</v>
      </c>
      <c r="H25" s="23">
        <v>2.3724695311886141</v>
      </c>
      <c r="I25" s="58">
        <v>9300.4769299999989</v>
      </c>
      <c r="J25" s="101">
        <v>1.6545627376987677</v>
      </c>
      <c r="K25" s="76">
        <v>2.7375778529812411</v>
      </c>
      <c r="L25" s="58">
        <f>'HHI - Neživotno'!L22</f>
        <v>9829.6675999999989</v>
      </c>
      <c r="M25" s="101">
        <f t="shared" si="0"/>
        <v>1.6498197472153677</v>
      </c>
      <c r="N25" s="100">
        <f t="shared" si="1"/>
        <v>2.7219051983017799</v>
      </c>
    </row>
    <row r="26" spans="2:14" x14ac:dyDescent="0.25">
      <c r="B26" s="55" t="s">
        <v>13</v>
      </c>
      <c r="C26" s="58">
        <v>14884.678</v>
      </c>
      <c r="D26" s="24">
        <v>2.9469199542689588</v>
      </c>
      <c r="E26" s="23">
        <v>8.6843372168685615</v>
      </c>
      <c r="F26" s="58">
        <v>15192.779119999999</v>
      </c>
      <c r="G26" s="24">
        <v>2.882506724741869</v>
      </c>
      <c r="H26" s="23">
        <v>8.3088450181820974</v>
      </c>
      <c r="I26" s="58">
        <v>15356.845369999999</v>
      </c>
      <c r="J26" s="101">
        <v>2.7319958222619718</v>
      </c>
      <c r="K26" s="76">
        <v>7.4638011728568676</v>
      </c>
      <c r="L26" s="58">
        <f>'HHI - Neživotno'!L23</f>
        <v>9501.7188299999998</v>
      </c>
      <c r="M26" s="101">
        <f t="shared" si="0"/>
        <v>1.5947765475021862</v>
      </c>
      <c r="N26" s="100">
        <f>M26^2</f>
        <v>2.543312236462993</v>
      </c>
    </row>
    <row r="27" spans="2:14" x14ac:dyDescent="0.25">
      <c r="B27" s="55" t="s">
        <v>21</v>
      </c>
      <c r="C27" s="58">
        <v>5238.3220000000001</v>
      </c>
      <c r="D27" s="24">
        <v>1.0371010799619635</v>
      </c>
      <c r="E27" s="23">
        <v>1.0755786500582711</v>
      </c>
      <c r="F27" s="58">
        <v>5944.0646100000004</v>
      </c>
      <c r="G27" s="24">
        <v>1.1277598440215564</v>
      </c>
      <c r="H27" s="23">
        <v>1.2718422657875252</v>
      </c>
      <c r="I27" s="58">
        <v>7544.8639000000003</v>
      </c>
      <c r="J27" s="101">
        <v>1.3422376899491546</v>
      </c>
      <c r="K27" s="76">
        <v>1.8016020163200428</v>
      </c>
      <c r="L27" s="58">
        <f>'HHI - Neživotno'!L24</f>
        <v>8959.6636999999992</v>
      </c>
      <c r="M27" s="101">
        <f t="shared" si="0"/>
        <v>1.5037975547279652</v>
      </c>
      <c r="N27" s="100">
        <f t="shared" si="1"/>
        <v>2.2614070856058075</v>
      </c>
    </row>
    <row r="28" spans="2:14" x14ac:dyDescent="0.25">
      <c r="B28" s="55" t="s">
        <v>22</v>
      </c>
      <c r="C28" s="58">
        <v>3749.0459999999998</v>
      </c>
      <c r="D28" s="24">
        <v>0.74228867099866569</v>
      </c>
      <c r="E28" s="23">
        <v>0.55099247109296534</v>
      </c>
      <c r="F28" s="58">
        <v>5013.2154900000005</v>
      </c>
      <c r="G28" s="24">
        <v>0.95115102038718424</v>
      </c>
      <c r="H28" s="23">
        <v>0.90468826358358179</v>
      </c>
      <c r="I28" s="58">
        <v>6514.2747900000004</v>
      </c>
      <c r="J28" s="101">
        <v>1.1588950127812927</v>
      </c>
      <c r="K28" s="76">
        <v>1.3430376506493527</v>
      </c>
      <c r="L28" s="58">
        <f>'HHI - Neživotno'!L26</f>
        <v>7727.1644699999997</v>
      </c>
      <c r="M28" s="101">
        <f t="shared" si="0"/>
        <v>1.2969338385956177</v>
      </c>
      <c r="N28" s="100">
        <f t="shared" si="1"/>
        <v>1.6820373816943639</v>
      </c>
    </row>
    <row r="29" spans="2:14" x14ac:dyDescent="0.25">
      <c r="B29" s="66" t="s">
        <v>47</v>
      </c>
      <c r="C29" s="67">
        <v>0</v>
      </c>
      <c r="D29" s="68" t="s">
        <v>37</v>
      </c>
      <c r="E29" s="69" t="s">
        <v>37</v>
      </c>
      <c r="F29" s="70">
        <v>0</v>
      </c>
      <c r="G29" s="68" t="s">
        <v>37</v>
      </c>
      <c r="H29" s="69" t="s">
        <v>37</v>
      </c>
      <c r="I29" s="70">
        <v>3346.5571099999997</v>
      </c>
      <c r="J29" s="103">
        <v>0.59535534956559233</v>
      </c>
      <c r="K29" s="104">
        <v>0.35444799225636864</v>
      </c>
      <c r="L29" s="70">
        <f>'HHI - Neživotno'!L27</f>
        <v>5759.1512899999998</v>
      </c>
      <c r="M29" s="101">
        <f t="shared" si="0"/>
        <v>0.96662083725423831</v>
      </c>
      <c r="N29" s="100">
        <f>M29^2</f>
        <v>0.9343558430140847</v>
      </c>
    </row>
    <row r="30" spans="2:14" x14ac:dyDescent="0.25">
      <c r="B30" s="55" t="s">
        <v>35</v>
      </c>
      <c r="C30" s="58">
        <v>1316.1830500000001</v>
      </c>
      <c r="D30" s="24">
        <v>0.26064186067725886</v>
      </c>
      <c r="E30" s="23">
        <v>6.7934179537303616E-2</v>
      </c>
      <c r="F30" s="58">
        <v>0</v>
      </c>
      <c r="G30" s="24">
        <v>0</v>
      </c>
      <c r="H30" s="23">
        <v>0</v>
      </c>
      <c r="I30" s="58">
        <v>0</v>
      </c>
      <c r="J30" s="101">
        <v>0</v>
      </c>
      <c r="K30" s="76">
        <v>0</v>
      </c>
      <c r="L30" s="58">
        <v>0</v>
      </c>
      <c r="M30" s="101">
        <f t="shared" si="0"/>
        <v>0</v>
      </c>
      <c r="N30" s="100">
        <f t="shared" si="1"/>
        <v>0</v>
      </c>
    </row>
    <row r="31" spans="2:14" x14ac:dyDescent="0.25">
      <c r="B31" s="55" t="s">
        <v>31</v>
      </c>
      <c r="C31" s="76">
        <v>147.40965</v>
      </c>
      <c r="D31" s="24">
        <v>2.9184671582200384E-2</v>
      </c>
      <c r="E31" s="23">
        <v>8.5174505536089469E-4</v>
      </c>
      <c r="F31" s="58">
        <v>0</v>
      </c>
      <c r="G31" s="24">
        <v>0</v>
      </c>
      <c r="H31" s="23">
        <v>0</v>
      </c>
      <c r="I31" s="58">
        <v>0</v>
      </c>
      <c r="J31" s="101">
        <v>0</v>
      </c>
      <c r="K31" s="76">
        <v>0</v>
      </c>
      <c r="L31" s="58">
        <v>0</v>
      </c>
      <c r="M31" s="101">
        <f t="shared" si="0"/>
        <v>0</v>
      </c>
      <c r="N31" s="100">
        <f t="shared" si="1"/>
        <v>0</v>
      </c>
    </row>
    <row r="32" spans="2:14" ht="16.5" thickBot="1" x14ac:dyDescent="0.3">
      <c r="B32" s="12" t="s">
        <v>3</v>
      </c>
      <c r="C32" s="25">
        <v>505091.41479999991</v>
      </c>
      <c r="D32" s="26">
        <v>100.00000000000001</v>
      </c>
      <c r="E32" s="26">
        <v>640.61210821122734</v>
      </c>
      <c r="F32" s="75">
        <v>527031.53352012194</v>
      </c>
      <c r="G32" s="26">
        <v>99.999999999999986</v>
      </c>
      <c r="H32" s="26">
        <v>636.77209866955877</v>
      </c>
      <c r="I32" s="105">
        <v>562110.86579499999</v>
      </c>
      <c r="J32" s="106">
        <v>99.999999999999972</v>
      </c>
      <c r="K32" s="107">
        <v>610.776093373771</v>
      </c>
      <c r="L32" s="105">
        <f>SUM(L6:L31)</f>
        <v>595802.51821999997</v>
      </c>
      <c r="M32" s="107">
        <f>SUM(M6:M31)</f>
        <v>100.00000000000001</v>
      </c>
      <c r="N32" s="108">
        <f>SUM(N6:N31)</f>
        <v>588.01684179836332</v>
      </c>
    </row>
    <row r="34" spans="2:14" ht="16.5" thickBot="1" x14ac:dyDescent="0.3">
      <c r="B34" s="6"/>
      <c r="C34" s="110"/>
      <c r="D34" s="110"/>
      <c r="E34" s="110"/>
      <c r="F34" s="110"/>
      <c r="G34" s="110"/>
      <c r="H34" s="110"/>
      <c r="I34" s="110"/>
      <c r="J34" s="110"/>
      <c r="K34" s="110"/>
      <c r="L34" s="113"/>
      <c r="M34" s="110"/>
      <c r="N34" s="110"/>
    </row>
    <row r="35" spans="2:14" x14ac:dyDescent="0.25">
      <c r="B35" s="130"/>
      <c r="C35" s="131"/>
      <c r="D35" s="29" t="s">
        <v>32</v>
      </c>
      <c r="E35" s="29" t="s">
        <v>34</v>
      </c>
      <c r="F35" s="83" t="s">
        <v>36</v>
      </c>
      <c r="G35" s="84" t="s">
        <v>51</v>
      </c>
      <c r="I35" s="31" t="s">
        <v>57</v>
      </c>
      <c r="L35" s="32"/>
    </row>
    <row r="36" spans="2:14" x14ac:dyDescent="0.25">
      <c r="B36" s="145" t="s">
        <v>27</v>
      </c>
      <c r="C36" s="146"/>
      <c r="D36" s="47">
        <v>0.38058227303103448</v>
      </c>
      <c r="E36" s="47">
        <v>0.38569681846827258</v>
      </c>
      <c r="F36" s="47">
        <v>0.370229345932795</v>
      </c>
      <c r="G36" s="71">
        <f>SUM(M6:M9)/100</f>
        <v>0.35896933132972558</v>
      </c>
    </row>
    <row r="37" spans="2:14" ht="16.5" thickBot="1" x14ac:dyDescent="0.3">
      <c r="B37" s="132" t="s">
        <v>0</v>
      </c>
      <c r="C37" s="133"/>
      <c r="D37" s="43">
        <v>640.61210821122734</v>
      </c>
      <c r="E37" s="43">
        <v>636.77209866955877</v>
      </c>
      <c r="F37" s="43">
        <v>610.776093373771</v>
      </c>
      <c r="G37" s="72">
        <v>588.01684179836332</v>
      </c>
      <c r="I37" s="31" t="s">
        <v>58</v>
      </c>
    </row>
    <row r="39" spans="2:14" x14ac:dyDescent="0.25">
      <c r="I39" s="31" t="s">
        <v>42</v>
      </c>
    </row>
    <row r="40" spans="2:14" x14ac:dyDescent="0.25">
      <c r="I40" s="28" t="s">
        <v>62</v>
      </c>
      <c r="L40" s="60"/>
    </row>
    <row r="41" spans="2:14" x14ac:dyDescent="0.25">
      <c r="I41" s="28"/>
      <c r="L41" s="60"/>
    </row>
    <row r="42" spans="2:14" x14ac:dyDescent="0.25">
      <c r="I42" s="31" t="s">
        <v>43</v>
      </c>
      <c r="L42" s="36"/>
    </row>
    <row r="43" spans="2:14" x14ac:dyDescent="0.25">
      <c r="I43" s="31" t="s">
        <v>38</v>
      </c>
    </row>
    <row r="45" spans="2:14" x14ac:dyDescent="0.25">
      <c r="I45" s="31" t="s">
        <v>64</v>
      </c>
    </row>
  </sheetData>
  <mergeCells count="9">
    <mergeCell ref="B2:N2"/>
    <mergeCell ref="L4:N4"/>
    <mergeCell ref="B35:C35"/>
    <mergeCell ref="B37:C37"/>
    <mergeCell ref="B4:B5"/>
    <mergeCell ref="C4:E4"/>
    <mergeCell ref="F4:H4"/>
    <mergeCell ref="I4:K4"/>
    <mergeCell ref="B36:C36"/>
  </mergeCells>
  <phoneticPr fontId="23" type="noConversion"/>
  <pageMargins left="0.39370078740157483" right="0.39370078740157483" top="0.39370078740157483" bottom="0.39370078740157483" header="0.19685039370078741" footer="0.19685039370078741"/>
  <pageSetup paperSize="9" scale="60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31.12.2015. godine.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Udio</vt:lpstr>
      <vt:lpstr>HHI - Životno</vt:lpstr>
      <vt:lpstr>HHI - Neživotno</vt:lpstr>
      <vt:lpstr>HHI - Ukupno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2017-05-30T12:11:46Z</cp:lastPrinted>
  <dcterms:created xsi:type="dcterms:W3CDTF">2011-07-19T10:02:04Z</dcterms:created>
  <dcterms:modified xsi:type="dcterms:W3CDTF">2020-02-27T10:59:47Z</dcterms:modified>
</cp:coreProperties>
</file>