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L6" i="6" l="1"/>
  <c r="L28" i="7" l="1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15" i="5"/>
  <c r="L14" i="5"/>
  <c r="L13" i="5"/>
  <c r="L12" i="5"/>
  <c r="L11" i="5"/>
  <c r="L10" i="5"/>
  <c r="L9" i="5"/>
  <c r="L8" i="5"/>
  <c r="L7" i="5"/>
  <c r="L6" i="5"/>
  <c r="L18" i="5" l="1"/>
  <c r="M6" i="5" s="1"/>
  <c r="L32" i="6"/>
  <c r="M6" i="6" s="1"/>
  <c r="N6" i="6" s="1"/>
  <c r="M10" i="6" l="1"/>
  <c r="N10" i="6" s="1"/>
  <c r="L32" i="7"/>
  <c r="M20" i="7" s="1"/>
  <c r="M31" i="6"/>
  <c r="N31" i="6" s="1"/>
  <c r="M26" i="6"/>
  <c r="N26" i="6" s="1"/>
  <c r="M27" i="6"/>
  <c r="N27" i="6" s="1"/>
  <c r="M19" i="6"/>
  <c r="N19" i="6" s="1"/>
  <c r="M28" i="6"/>
  <c r="N28" i="6" s="1"/>
  <c r="M30" i="6"/>
  <c r="N30" i="6" s="1"/>
  <c r="M16" i="6"/>
  <c r="N16" i="6" s="1"/>
  <c r="M14" i="6"/>
  <c r="N14" i="6" s="1"/>
  <c r="M21" i="6"/>
  <c r="N21" i="6" s="1"/>
  <c r="M20" i="6"/>
  <c r="N20" i="6" s="1"/>
  <c r="M15" i="6"/>
  <c r="N15" i="6" s="1"/>
  <c r="M13" i="6"/>
  <c r="N13" i="6" s="1"/>
  <c r="M7" i="6"/>
  <c r="N7" i="6" s="1"/>
  <c r="M24" i="6"/>
  <c r="N24" i="6" s="1"/>
  <c r="M25" i="6"/>
  <c r="N25" i="6" s="1"/>
  <c r="M29" i="6"/>
  <c r="N29" i="6" s="1"/>
  <c r="M22" i="6"/>
  <c r="N22" i="6" s="1"/>
  <c r="M23" i="6"/>
  <c r="N23" i="6" s="1"/>
  <c r="M18" i="6"/>
  <c r="N18" i="6" s="1"/>
  <c r="M17" i="6"/>
  <c r="N17" i="6" s="1"/>
  <c r="M11" i="6"/>
  <c r="N11" i="6" s="1"/>
  <c r="M12" i="6"/>
  <c r="N12" i="6" s="1"/>
  <c r="M9" i="6"/>
  <c r="N9" i="6" s="1"/>
  <c r="M8" i="6"/>
  <c r="N8" i="6" s="1"/>
  <c r="M9" i="5"/>
  <c r="N9" i="5" s="1"/>
  <c r="M8" i="5"/>
  <c r="N8" i="5" s="1"/>
  <c r="N6" i="5"/>
  <c r="M15" i="5"/>
  <c r="N15" i="5" s="1"/>
  <c r="M17" i="5"/>
  <c r="N17" i="5" s="1"/>
  <c r="M14" i="5"/>
  <c r="N14" i="5" s="1"/>
  <c r="M16" i="5"/>
  <c r="N16" i="5" s="1"/>
  <c r="M12" i="5"/>
  <c r="N12" i="5" s="1"/>
  <c r="M13" i="5"/>
  <c r="N13" i="5" s="1"/>
  <c r="M11" i="5"/>
  <c r="N11" i="5" s="1"/>
  <c r="M10" i="5"/>
  <c r="N10" i="5" s="1"/>
  <c r="M7" i="5"/>
  <c r="N7" i="5" s="1"/>
  <c r="M6" i="7" l="1"/>
  <c r="F7" i="4" s="1"/>
  <c r="M18" i="7"/>
  <c r="N18" i="7" s="1"/>
  <c r="G22" i="5"/>
  <c r="G36" i="6"/>
  <c r="N32" i="6"/>
  <c r="G37" i="6" s="1"/>
  <c r="M10" i="7"/>
  <c r="N10" i="7" s="1"/>
  <c r="M29" i="7"/>
  <c r="N29" i="7" s="1"/>
  <c r="M27" i="7"/>
  <c r="N27" i="7" s="1"/>
  <c r="M23" i="7"/>
  <c r="N23" i="7" s="1"/>
  <c r="M7" i="7"/>
  <c r="N7" i="7" s="1"/>
  <c r="M30" i="7"/>
  <c r="N30" i="7" s="1"/>
  <c r="M25" i="7"/>
  <c r="N25" i="7" s="1"/>
  <c r="M21" i="7"/>
  <c r="N21" i="7" s="1"/>
  <c r="M8" i="7"/>
  <c r="N8" i="7" s="1"/>
  <c r="M9" i="7"/>
  <c r="N9" i="7" s="1"/>
  <c r="M28" i="7"/>
  <c r="N28" i="7" s="1"/>
  <c r="M31" i="7"/>
  <c r="N31" i="7" s="1"/>
  <c r="M24" i="7"/>
  <c r="N24" i="7" s="1"/>
  <c r="M22" i="7"/>
  <c r="N22" i="7" s="1"/>
  <c r="M26" i="7"/>
  <c r="N26" i="7" s="1"/>
  <c r="M17" i="7"/>
  <c r="N17" i="7" s="1"/>
  <c r="M16" i="7"/>
  <c r="N16" i="7" s="1"/>
  <c r="M12" i="7"/>
  <c r="N12" i="7" s="1"/>
  <c r="N20" i="7"/>
  <c r="M19" i="7"/>
  <c r="N19" i="7" s="1"/>
  <c r="M13" i="7"/>
  <c r="N13" i="7" s="1"/>
  <c r="M14" i="7"/>
  <c r="N14" i="7" s="1"/>
  <c r="M15" i="7"/>
  <c r="N15" i="7" s="1"/>
  <c r="M11" i="7"/>
  <c r="N11" i="7" s="1"/>
  <c r="M32" i="6"/>
  <c r="N18" i="5"/>
  <c r="G23" i="5" s="1"/>
  <c r="M18" i="5"/>
  <c r="N6" i="7" l="1"/>
  <c r="F6" i="4"/>
  <c r="G36" i="7"/>
  <c r="F5" i="4"/>
  <c r="N32" i="7"/>
  <c r="G37" i="7" s="1"/>
  <c r="M32" i="7"/>
</calcChain>
</file>

<file path=xl/sharedStrings.xml><?xml version="1.0" encoding="utf-8"?>
<sst xmlns="http://schemas.openxmlformats.org/spreadsheetml/2006/main" count="161" uniqueCount="56">
  <si>
    <t>HHI</t>
  </si>
  <si>
    <t xml:space="preserve"> </t>
  </si>
  <si>
    <t>Tržišni udio</t>
  </si>
  <si>
    <t>2010.</t>
  </si>
  <si>
    <t>2011.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</si>
  <si>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</si>
  <si>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</si>
  <si>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</si>
  <si>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</si>
  <si>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</si>
  <si>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</si>
  <si>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</si>
  <si>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Jahorina osiguranje a.d.</t>
  </si>
  <si>
    <t>Dunav osiguranje a.d.</t>
  </si>
  <si>
    <t>Hercegovina osiguranje d.d.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</si>
  <si>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</si>
  <si>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</si>
  <si>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</si>
  <si>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</si>
  <si>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</si>
  <si>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</si>
  <si>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</si>
  <si>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</si>
  <si>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</si>
  <si>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</si>
  <si>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</si>
  <si>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</si>
  <si>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</si>
  <si>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</si>
  <si>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</si>
  <si>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HHI indeks za tržište životnog osiguranja u BiH</t>
  </si>
  <si>
    <t>Tržišni udio prva četiri društva</t>
  </si>
  <si>
    <t>Bosna-Sunce osiguranje d.d.</t>
  </si>
  <si>
    <t>HHI indeks za tržište neživotnog osiguranja u BiH</t>
  </si>
  <si>
    <t>HHI indeks za tržište životnog i neživotnog osiguranja u BiH</t>
  </si>
  <si>
    <t>LOK osiguranje d.d.</t>
  </si>
  <si>
    <t>2012.</t>
  </si>
  <si>
    <t>Sarajevo-osiguranje d.d.</t>
  </si>
  <si>
    <t>2013.</t>
  </si>
  <si>
    <t>Lido osiguranje d.d.</t>
  </si>
  <si>
    <t>dozvola za rad.</t>
  </si>
  <si>
    <t>Koncentracija tržišta osiguranja u BiH za 2010., 2011., 2012. i 2013. godinu</t>
  </si>
  <si>
    <t>LOK osiguranje d.d.*</t>
  </si>
  <si>
    <t>2013.**</t>
  </si>
  <si>
    <t>imalo prihode od premije.</t>
  </si>
  <si>
    <t>Prvih pet osiguravatelja</t>
  </si>
  <si>
    <t>Prvih deset osiguravatelja</t>
  </si>
  <si>
    <t>Osiguravajuće društvo</t>
  </si>
  <si>
    <t>Premija (u tisućama KM)</t>
  </si>
  <si>
    <t xml:space="preserve">** Osiguranje Garant d.d. Brčko utemeljeno je koncem 2013. godine i nije </t>
  </si>
  <si>
    <t>Osiguravajuće društvo*</t>
  </si>
  <si>
    <t xml:space="preserve">* Osiguravajućem društvu LOK osiguranje d.d. Sarajevo je u tijeku 2012. godine oduzeta </t>
  </si>
  <si>
    <t>u tijeku 2012. godine oduzeta je dozvola za rad.</t>
  </si>
  <si>
    <t>*Osiguravajućim društvima  Lido osiguranje d.d. Sarajevo i LOK osiguranje d.d. Sarajevo</t>
  </si>
  <si>
    <t xml:space="preserve">**Osiguranje Garant d.d. Brčko utemeljeno je koncem 2013. godine i nije </t>
  </si>
  <si>
    <t>*Osiguravajućim društvima Lido osiguranje d.d. Sarajevo i LOK osiguranje d.d. Sarajevo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</si>
</sst>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3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66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7" fillId="0" borderId="0"/>
  </cellStyleXfs>
  <cellXfs count="113">
    <xf numFmtId="0" fontId="0" fillId="0" borderId="0" xfId="0"/>
    <xf numFmtId="0" fontId="23" fillId="0" borderId="0" xfId="40" applyFont="1"/>
    <xf numFmtId="0" fontId="23" fillId="0" borderId="0" xfId="40" applyFont="1" applyBorder="1" applyAlignment="1"/>
    <xf numFmtId="0" fontId="23" fillId="0" borderId="0" xfId="151" applyFont="1"/>
    <xf numFmtId="1" fontId="23" fillId="0" borderId="0" xfId="151" applyNumberFormat="1" applyFont="1"/>
    <xf numFmtId="0" fontId="25" fillId="0" borderId="0" xfId="151" applyFont="1"/>
    <xf numFmtId="0" fontId="25" fillId="0" borderId="0" xfId="151" applyFont="1" applyAlignment="1">
      <alignment horizontal="left"/>
    </xf>
    <xf numFmtId="3" fontId="25" fillId="0" borderId="0" xfId="151" applyNumberFormat="1" applyFont="1"/>
    <xf numFmtId="0" fontId="25" fillId="0" borderId="0" xfId="151" applyFont="1" applyBorder="1"/>
    <xf numFmtId="0" fontId="28" fillId="0" borderId="0" xfId="151" applyFont="1" applyBorder="1"/>
    <xf numFmtId="3" fontId="23" fillId="0" borderId="0" xfId="151" applyNumberFormat="1" applyFont="1" applyBorder="1"/>
    <xf numFmtId="3" fontId="27" fillId="0" borderId="0" xfId="151" applyNumberFormat="1" applyFont="1" applyBorder="1"/>
    <xf numFmtId="0" fontId="31" fillId="26" borderId="16" xfId="151" applyFont="1" applyFill="1" applyBorder="1" applyAlignment="1">
      <alignment horizontal="right" vertical="center" wrapText="1"/>
    </xf>
    <xf numFmtId="0" fontId="31" fillId="26" borderId="10" xfId="151" applyFont="1" applyFill="1" applyBorder="1" applyAlignment="1">
      <alignment horizontal="center" vertical="center" wrapText="1"/>
    </xf>
    <xf numFmtId="0" fontId="31" fillId="26" borderId="10" xfId="151" applyFont="1" applyFill="1" applyBorder="1" applyAlignment="1">
      <alignment horizontal="center" vertical="center"/>
    </xf>
    <xf numFmtId="0" fontId="31" fillId="26" borderId="15" xfId="151" applyFont="1" applyFill="1" applyBorder="1" applyAlignment="1">
      <alignment horizontal="center" vertical="center"/>
    </xf>
    <xf numFmtId="2" fontId="32" fillId="25" borderId="10" xfId="151" applyNumberFormat="1" applyFont="1" applyFill="1" applyBorder="1" applyAlignment="1">
      <alignment horizontal="right"/>
    </xf>
    <xf numFmtId="1" fontId="32" fillId="0" borderId="10" xfId="151" applyNumberFormat="1" applyFont="1" applyBorder="1" applyAlignment="1">
      <alignment horizontal="right"/>
    </xf>
    <xf numFmtId="1" fontId="32" fillId="0" borderId="15" xfId="151" applyNumberFormat="1" applyFont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0" fontId="31" fillId="26" borderId="16" xfId="151" applyFont="1" applyFill="1" applyBorder="1" applyAlignment="1">
      <alignment horizontal="right" wrapText="1"/>
    </xf>
    <xf numFmtId="3" fontId="31" fillId="26" borderId="17" xfId="151" applyNumberFormat="1" applyFont="1" applyFill="1" applyBorder="1" applyAlignment="1">
      <alignment horizontal="right"/>
    </xf>
    <xf numFmtId="1" fontId="31" fillId="26" borderId="17" xfId="151" applyNumberFormat="1" applyFont="1" applyFill="1" applyBorder="1" applyAlignment="1">
      <alignment horizontal="right"/>
    </xf>
    <xf numFmtId="1" fontId="30" fillId="24" borderId="10" xfId="151" applyNumberFormat="1" applyFont="1" applyFill="1" applyBorder="1" applyAlignment="1">
      <alignment horizontal="right"/>
    </xf>
    <xf numFmtId="1" fontId="30" fillId="24" borderId="15" xfId="151" applyNumberFormat="1" applyFont="1" applyFill="1" applyBorder="1" applyAlignment="1">
      <alignment horizontal="right"/>
    </xf>
    <xf numFmtId="2" fontId="30" fillId="0" borderId="10" xfId="151" applyNumberFormat="1" applyFont="1" applyFill="1" applyBorder="1" applyAlignment="1">
      <alignment horizontal="right"/>
    </xf>
    <xf numFmtId="3" fontId="29" fillId="26" borderId="17" xfId="151" applyNumberFormat="1" applyFont="1" applyFill="1" applyBorder="1" applyAlignment="1">
      <alignment horizontal="right"/>
    </xf>
    <xf numFmtId="1" fontId="29" fillId="26" borderId="17" xfId="151" applyNumberFormat="1" applyFont="1" applyFill="1" applyBorder="1" applyAlignment="1">
      <alignment horizontal="right"/>
    </xf>
    <xf numFmtId="1" fontId="29" fillId="26" borderId="18" xfId="151" applyNumberFormat="1" applyFont="1" applyFill="1" applyBorder="1" applyAlignment="1">
      <alignment horizontal="right"/>
    </xf>
    <xf numFmtId="2" fontId="32" fillId="25" borderId="10" xfId="151" applyNumberFormat="1" applyFont="1" applyFill="1" applyBorder="1" applyAlignment="1">
      <alignment horizontal="right" vertical="center"/>
    </xf>
    <xf numFmtId="1" fontId="32" fillId="24" borderId="10" xfId="151" applyNumberFormat="1" applyFont="1" applyFill="1" applyBorder="1" applyAlignment="1">
      <alignment horizontal="right" vertical="center"/>
    </xf>
    <xf numFmtId="1" fontId="32" fillId="24" borderId="15" xfId="151" applyNumberFormat="1" applyFont="1" applyFill="1" applyBorder="1" applyAlignment="1">
      <alignment horizontal="right" vertical="center"/>
    </xf>
    <xf numFmtId="2" fontId="32" fillId="0" borderId="10" xfId="151" applyNumberFormat="1" applyFont="1" applyFill="1" applyBorder="1" applyAlignment="1">
      <alignment horizontal="right" vertical="center"/>
    </xf>
    <xf numFmtId="3" fontId="31" fillId="26" borderId="17" xfId="151" applyNumberFormat="1" applyFont="1" applyFill="1" applyBorder="1" applyAlignment="1">
      <alignment horizontal="right" vertical="center"/>
    </xf>
    <xf numFmtId="1" fontId="31" fillId="26" borderId="17" xfId="151" applyNumberFormat="1" applyFont="1" applyFill="1" applyBorder="1" applyAlignment="1">
      <alignment horizontal="right" vertical="center"/>
    </xf>
    <xf numFmtId="0" fontId="31" fillId="26" borderId="17" xfId="151" applyFont="1" applyFill="1" applyBorder="1" applyAlignment="1">
      <alignment horizontal="right" vertical="center"/>
    </xf>
    <xf numFmtId="1" fontId="31" fillId="26" borderId="18" xfId="151" applyNumberFormat="1" applyFont="1" applyFill="1" applyBorder="1" applyAlignment="1">
      <alignment horizontal="right" vertical="center"/>
    </xf>
    <xf numFmtId="0" fontId="29" fillId="25" borderId="11" xfId="40" applyFont="1" applyFill="1" applyBorder="1" applyAlignment="1">
      <alignment horizontal="center" vertical="center"/>
    </xf>
    <xf numFmtId="0" fontId="29" fillId="25" borderId="12" xfId="40" applyFont="1" applyFill="1" applyBorder="1" applyAlignment="1">
      <alignment horizontal="center" vertical="center"/>
    </xf>
    <xf numFmtId="0" fontId="29" fillId="25" borderId="13" xfId="40" applyFont="1" applyFill="1" applyBorder="1" applyAlignment="1">
      <alignment horizontal="center" vertical="center"/>
    </xf>
    <xf numFmtId="0" fontId="30" fillId="0" borderId="14" xfId="40" applyFont="1" applyBorder="1"/>
    <xf numFmtId="0" fontId="30" fillId="0" borderId="14" xfId="40" applyFont="1" applyBorder="1" applyAlignment="1">
      <alignment horizontal="left"/>
    </xf>
    <xf numFmtId="0" fontId="30" fillId="0" borderId="16" xfId="40" applyFont="1" applyBorder="1" applyAlignment="1">
      <alignment horizontal="left"/>
    </xf>
    <xf numFmtId="0" fontId="33" fillId="0" borderId="0" xfId="40" applyFont="1"/>
    <xf numFmtId="0" fontId="33" fillId="0" borderId="0" xfId="151" applyFont="1"/>
    <xf numFmtId="3" fontId="31" fillId="26" borderId="18" xfId="151" applyNumberFormat="1" applyFont="1" applyFill="1" applyBorder="1" applyAlignment="1">
      <alignment horizontal="right" vertical="center"/>
    </xf>
    <xf numFmtId="0" fontId="29" fillId="25" borderId="12" xfId="151" applyFont="1" applyFill="1" applyBorder="1" applyAlignment="1">
      <alignment horizontal="center"/>
    </xf>
    <xf numFmtId="0" fontId="29" fillId="25" borderId="13" xfId="151" applyFont="1" applyFill="1" applyBorder="1" applyAlignment="1">
      <alignment horizontal="center"/>
    </xf>
    <xf numFmtId="10" fontId="30" fillId="0" borderId="15" xfId="151" applyNumberFormat="1" applyFont="1" applyBorder="1" applyAlignment="1">
      <alignment horizontal="center"/>
    </xf>
    <xf numFmtId="3" fontId="30" fillId="0" borderId="18" xfId="151" applyNumberFormat="1" applyFont="1" applyBorder="1" applyAlignment="1">
      <alignment horizontal="center"/>
    </xf>
    <xf numFmtId="3" fontId="34" fillId="0" borderId="0" xfId="151" applyNumberFormat="1" applyFont="1" applyFill="1" applyBorder="1" applyAlignment="1">
      <alignment horizontal="right" wrapText="1"/>
    </xf>
    <xf numFmtId="0" fontId="35" fillId="0" borderId="0" xfId="0" applyFont="1"/>
    <xf numFmtId="3" fontId="36" fillId="0" borderId="0" xfId="151" applyNumberFormat="1" applyFont="1"/>
    <xf numFmtId="3" fontId="34" fillId="0" borderId="0" xfId="151" applyNumberFormat="1" applyFont="1" applyFill="1" applyBorder="1" applyAlignment="1">
      <alignment horizontal="right" vertical="center"/>
    </xf>
    <xf numFmtId="0" fontId="29" fillId="25" borderId="12" xfId="151" applyFont="1" applyFill="1" applyBorder="1" applyAlignment="1">
      <alignment horizontal="center" vertical="center"/>
    </xf>
    <xf numFmtId="0" fontId="29" fillId="25" borderId="13" xfId="151" applyFont="1" applyFill="1" applyBorder="1" applyAlignment="1">
      <alignment horizontal="center" vertical="center"/>
    </xf>
    <xf numFmtId="0" fontId="38" fillId="0" borderId="0" xfId="40" applyFont="1" applyBorder="1" applyAlignment="1"/>
    <xf numFmtId="4" fontId="23" fillId="0" borderId="0" xfId="151" applyNumberFormat="1" applyFont="1"/>
    <xf numFmtId="4" fontId="25" fillId="0" borderId="0" xfId="151" applyNumberFormat="1" applyFont="1"/>
    <xf numFmtId="10" fontId="39" fillId="0" borderId="10" xfId="40" applyNumberFormat="1" applyFont="1" applyBorder="1" applyAlignment="1">
      <alignment horizontal="center"/>
    </xf>
    <xf numFmtId="10" fontId="39" fillId="0" borderId="17" xfId="40" applyNumberFormat="1" applyFont="1" applyBorder="1" applyAlignment="1">
      <alignment horizontal="center"/>
    </xf>
    <xf numFmtId="10" fontId="39" fillId="0" borderId="15" xfId="40" applyNumberFormat="1" applyFont="1" applyBorder="1" applyAlignment="1">
      <alignment horizontal="center"/>
    </xf>
    <xf numFmtId="10" fontId="39" fillId="0" borderId="18" xfId="40" applyNumberFormat="1" applyFont="1" applyBorder="1" applyAlignment="1">
      <alignment horizontal="center"/>
    </xf>
    <xf numFmtId="3" fontId="23" fillId="0" borderId="0" xfId="151" applyNumberFormat="1" applyFont="1"/>
    <xf numFmtId="3" fontId="39" fillId="0" borderId="10" xfId="151" applyNumberFormat="1" applyFont="1" applyBorder="1" applyAlignment="1">
      <alignment horizontal="right" wrapText="1"/>
    </xf>
    <xf numFmtId="3" fontId="39" fillId="0" borderId="10" xfId="151" applyNumberFormat="1" applyFont="1" applyBorder="1" applyAlignment="1">
      <alignment horizontal="right"/>
    </xf>
    <xf numFmtId="0" fontId="39" fillId="0" borderId="10" xfId="151" applyFont="1" applyBorder="1" applyAlignment="1">
      <alignment horizontal="right"/>
    </xf>
    <xf numFmtId="3" fontId="39" fillId="0" borderId="10" xfId="151" applyNumberFormat="1" applyFont="1" applyFill="1" applyBorder="1" applyAlignment="1">
      <alignment horizontal="right" wrapText="1"/>
    </xf>
    <xf numFmtId="3" fontId="39" fillId="0" borderId="17" xfId="151" applyNumberFormat="1" applyFont="1" applyBorder="1" applyAlignment="1">
      <alignment horizontal="center"/>
    </xf>
    <xf numFmtId="0" fontId="39" fillId="0" borderId="14" xfId="151" applyFont="1" applyBorder="1" applyAlignment="1">
      <alignment horizontal="left" wrapText="1"/>
    </xf>
    <xf numFmtId="0" fontId="39" fillId="0" borderId="14" xfId="151" applyFont="1" applyBorder="1" applyAlignment="1">
      <alignment horizontal="left"/>
    </xf>
    <xf numFmtId="0" fontId="39" fillId="0" borderId="14" xfId="151" applyFont="1" applyBorder="1" applyAlignment="1">
      <alignment wrapText="1"/>
    </xf>
    <xf numFmtId="10" fontId="39" fillId="0" borderId="10" xfId="151" applyNumberFormat="1" applyFont="1" applyBorder="1" applyAlignment="1">
      <alignment horizontal="center"/>
    </xf>
    <xf numFmtId="0" fontId="39" fillId="24" borderId="14" xfId="151" applyFont="1" applyFill="1" applyBorder="1" applyAlignment="1">
      <alignment horizontal="left"/>
    </xf>
    <xf numFmtId="0" fontId="39" fillId="24" borderId="14" xfId="151" applyFont="1" applyFill="1" applyBorder="1" applyAlignment="1">
      <alignment horizontal="left" wrapText="1"/>
    </xf>
    <xf numFmtId="1" fontId="25" fillId="0" borderId="0" xfId="151" applyNumberFormat="1" applyFont="1"/>
    <xf numFmtId="3" fontId="39" fillId="24" borderId="10" xfId="151" applyNumberFormat="1" applyFont="1" applyFill="1" applyBorder="1" applyAlignment="1">
      <alignment horizontal="right"/>
    </xf>
    <xf numFmtId="3" fontId="39" fillId="24" borderId="10" xfId="151" applyNumberFormat="1" applyFont="1" applyFill="1" applyBorder="1" applyAlignment="1">
      <alignment horizontal="right" wrapText="1"/>
    </xf>
    <xf numFmtId="0" fontId="39" fillId="24" borderId="10" xfId="151" applyFont="1" applyFill="1" applyBorder="1" applyAlignment="1">
      <alignment horizontal="right"/>
    </xf>
    <xf numFmtId="3" fontId="39" fillId="0" borderId="10" xfId="151" applyNumberFormat="1" applyFont="1" applyFill="1" applyBorder="1" applyAlignment="1">
      <alignment horizontal="right"/>
    </xf>
    <xf numFmtId="0" fontId="39" fillId="24" borderId="14" xfId="151" applyFont="1" applyFill="1" applyBorder="1" applyAlignment="1">
      <alignment horizontal="justify" vertical="center"/>
    </xf>
    <xf numFmtId="0" fontId="39" fillId="24" borderId="14" xfId="151" applyFont="1" applyFill="1" applyBorder="1" applyAlignment="1">
      <alignment horizontal="justify" vertical="center" wrapText="1"/>
    </xf>
    <xf numFmtId="0" fontId="39" fillId="24" borderId="14" xfId="151" applyFont="1" applyFill="1" applyBorder="1" applyAlignment="1">
      <alignment horizontal="left" vertical="center"/>
    </xf>
    <xf numFmtId="3" fontId="39" fillId="24" borderId="10" xfId="151" applyNumberFormat="1" applyFont="1" applyFill="1" applyBorder="1" applyAlignment="1">
      <alignment horizontal="right" vertical="center"/>
    </xf>
    <xf numFmtId="3" fontId="39" fillId="24" borderId="10" xfId="151" applyNumberFormat="1" applyFont="1" applyFill="1" applyBorder="1" applyAlignment="1">
      <alignment horizontal="right" vertical="center" wrapText="1"/>
    </xf>
    <xf numFmtId="0" fontId="39" fillId="24" borderId="10" xfId="151" applyFont="1" applyFill="1" applyBorder="1" applyAlignment="1">
      <alignment horizontal="right" vertical="center"/>
    </xf>
    <xf numFmtId="3" fontId="40" fillId="0" borderId="0" xfId="151" applyNumberFormat="1" applyFont="1"/>
    <xf numFmtId="3" fontId="41" fillId="26" borderId="17" xfId="151" applyNumberFormat="1" applyFont="1" applyFill="1" applyBorder="1" applyAlignment="1">
      <alignment horizontal="right"/>
    </xf>
    <xf numFmtId="3" fontId="42" fillId="0" borderId="0" xfId="151" applyNumberFormat="1" applyFont="1"/>
    <xf numFmtId="3" fontId="41" fillId="26" borderId="17" xfId="151" applyNumberFormat="1" applyFont="1" applyFill="1" applyBorder="1" applyAlignment="1">
      <alignment horizontal="right" vertical="center"/>
    </xf>
    <xf numFmtId="1" fontId="32" fillId="0" borderId="10" xfId="151" applyNumberFormat="1" applyFont="1" applyFill="1" applyBorder="1" applyAlignment="1">
      <alignment horizontal="right"/>
    </xf>
    <xf numFmtId="0" fontId="32" fillId="0" borderId="10" xfId="151" applyFont="1" applyFill="1" applyBorder="1" applyAlignment="1">
      <alignment horizontal="right"/>
    </xf>
    <xf numFmtId="0" fontId="24" fillId="0" borderId="19" xfId="40" applyFont="1" applyBorder="1" applyAlignment="1">
      <alignment horizontal="center"/>
    </xf>
    <xf numFmtId="0" fontId="24" fillId="0" borderId="20" xfId="40" applyFont="1" applyBorder="1" applyAlignment="1">
      <alignment horizontal="center"/>
    </xf>
    <xf numFmtId="0" fontId="24" fillId="0" borderId="21" xfId="40" applyFont="1" applyBorder="1" applyAlignment="1">
      <alignment horizontal="center"/>
    </xf>
    <xf numFmtId="0" fontId="24" fillId="0" borderId="19" xfId="151" applyFont="1" applyBorder="1" applyAlignment="1">
      <alignment horizontal="center"/>
    </xf>
    <xf numFmtId="0" fontId="24" fillId="0" borderId="20" xfId="151" applyFont="1" applyBorder="1" applyAlignment="1">
      <alignment horizontal="center"/>
    </xf>
    <xf numFmtId="0" fontId="24" fillId="0" borderId="21" xfId="151" applyFont="1" applyBorder="1" applyAlignment="1">
      <alignment horizontal="center"/>
    </xf>
    <xf numFmtId="0" fontId="31" fillId="25" borderId="12" xfId="151" applyFont="1" applyFill="1" applyBorder="1" applyAlignment="1">
      <alignment horizontal="center" vertical="center"/>
    </xf>
    <xf numFmtId="0" fontId="31" fillId="25" borderId="13" xfId="151" applyFont="1" applyFill="1" applyBorder="1" applyAlignment="1">
      <alignment horizontal="center" vertical="center"/>
    </xf>
    <xf numFmtId="0" fontId="30" fillId="25" borderId="11" xfId="151" applyFont="1" applyFill="1" applyBorder="1" applyAlignment="1">
      <alignment horizontal="center"/>
    </xf>
    <xf numFmtId="0" fontId="30" fillId="25" borderId="12" xfId="151" applyFont="1" applyFill="1" applyBorder="1" applyAlignment="1">
      <alignment horizontal="center"/>
    </xf>
    <xf numFmtId="0" fontId="29" fillId="0" borderId="16" xfId="151" applyFont="1" applyBorder="1" applyAlignment="1">
      <alignment horizontal="left"/>
    </xf>
    <xf numFmtId="0" fontId="29" fillId="0" borderId="17" xfId="151" applyFont="1" applyBorder="1" applyAlignment="1">
      <alignment horizontal="left"/>
    </xf>
    <xf numFmtId="0" fontId="31" fillId="25" borderId="11" xfId="151" applyFont="1" applyFill="1" applyBorder="1" applyAlignment="1">
      <alignment horizontal="center" vertical="center" wrapText="1"/>
    </xf>
    <xf numFmtId="0" fontId="31" fillId="25" borderId="14" xfId="151" applyFont="1" applyFill="1" applyBorder="1" applyAlignment="1">
      <alignment horizontal="center" vertical="center" wrapText="1"/>
    </xf>
    <xf numFmtId="0" fontId="29" fillId="0" borderId="22" xfId="151" applyFont="1" applyBorder="1" applyAlignment="1">
      <alignment horizontal="left"/>
    </xf>
    <xf numFmtId="0" fontId="29" fillId="0" borderId="21" xfId="151" applyFont="1" applyBorder="1" applyAlignment="1">
      <alignment horizontal="left"/>
    </xf>
    <xf numFmtId="0" fontId="26" fillId="0" borderId="19" xfId="151" applyFont="1" applyBorder="1" applyAlignment="1">
      <alignment horizontal="center"/>
    </xf>
    <xf numFmtId="0" fontId="26" fillId="0" borderId="20" xfId="151" applyFont="1" applyBorder="1" applyAlignment="1">
      <alignment horizontal="center"/>
    </xf>
    <xf numFmtId="0" fontId="26" fillId="0" borderId="21" xfId="151" applyFont="1" applyBorder="1" applyAlignment="1">
      <alignment horizontal="center"/>
    </xf>
    <xf numFmtId="0" fontId="29" fillId="0" borderId="14" xfId="151" applyFont="1" applyBorder="1" applyAlignment="1">
      <alignment horizontal="left"/>
    </xf>
    <xf numFmtId="0" fontId="29" fillId="0" borderId="10" xfId="151" applyFont="1" applyBorder="1" applyAlignment="1">
      <alignment horizontal="left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bično 2" xfId="204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0.46009999999999995</c:v>
                </c:pt>
                <c:pt idx="1">
                  <c:v>0.45996318241812234</c:v>
                </c:pt>
                <c:pt idx="2">
                  <c:v>0.45265216480212045</c:v>
                </c:pt>
                <c:pt idx="3">
                  <c:v>0.46232033337302952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0.71709999999999996</c:v>
                </c:pt>
                <c:pt idx="1">
                  <c:v>0.70750249728638481</c:v>
                </c:pt>
                <c:pt idx="2">
                  <c:v>0.71664408060870344</c:v>
                </c:pt>
                <c:pt idx="3">
                  <c:v>0.70918309628222076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0.12429999999999999</c:v>
                </c:pt>
                <c:pt idx="1">
                  <c:v>0.12791406348643214</c:v>
                </c:pt>
                <c:pt idx="2">
                  <c:v>0.12780251496116019</c:v>
                </c:pt>
                <c:pt idx="3">
                  <c:v>0.12285910652045545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36448"/>
        <c:axId val="43338752"/>
        <c:axId val="0"/>
      </c:bar3DChart>
      <c:catAx>
        <c:axId val="433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3338752"/>
        <c:crosses val="autoZero"/>
        <c:auto val="1"/>
        <c:lblAlgn val="ctr"/>
        <c:lblOffset val="100"/>
        <c:noMultiLvlLbl val="0"/>
      </c:catAx>
      <c:valAx>
        <c:axId val="433387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3336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Životno'!$B$22:$C$22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'HHI - Životno'!$D$22:$G$22</c:f>
              <c:numCache>
                <c:formatCode>0.00%</c:formatCode>
                <c:ptCount val="4"/>
                <c:pt idx="0">
                  <c:v>0.78817390371175233</c:v>
                </c:pt>
                <c:pt idx="1">
                  <c:v>0.80354113362370461</c:v>
                </c:pt>
                <c:pt idx="2">
                  <c:v>0.79938569005801807</c:v>
                </c:pt>
                <c:pt idx="3">
                  <c:v>0.80800287454427933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62464"/>
        <c:axId val="73664000"/>
      </c:barChart>
      <c:lineChart>
        <c:grouping val="standard"/>
        <c:varyColors val="0"/>
        <c:ser>
          <c:idx val="1"/>
          <c:order val="1"/>
          <c:tx>
            <c:strRef>
              <c:f>'HHI - Životno'!$B$23:$C$23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'HHI - Životno'!$D$23:$G$23</c:f>
              <c:numCache>
                <c:formatCode>#,##0</c:formatCode>
                <c:ptCount val="4"/>
                <c:pt idx="0">
                  <c:v>1786.374596207608</c:v>
                </c:pt>
                <c:pt idx="1">
                  <c:v>1816.7916532546731</c:v>
                </c:pt>
                <c:pt idx="2">
                  <c:v>1789.7351681293824</c:v>
                </c:pt>
                <c:pt idx="3">
                  <c:v>1833.9488816210205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0128"/>
        <c:axId val="73841664"/>
      </c:lineChart>
      <c:catAx>
        <c:axId val="736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664000"/>
        <c:crosses val="autoZero"/>
        <c:auto val="1"/>
        <c:lblAlgn val="ctr"/>
        <c:lblOffset val="100"/>
        <c:noMultiLvlLbl val="0"/>
      </c:catAx>
      <c:valAx>
        <c:axId val="73664000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662464"/>
        <c:crosses val="autoZero"/>
        <c:crossBetween val="between"/>
      </c:valAx>
      <c:catAx>
        <c:axId val="7384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3841664"/>
        <c:crosses val="autoZero"/>
        <c:auto val="1"/>
        <c:lblAlgn val="ctr"/>
        <c:lblOffset val="100"/>
        <c:noMultiLvlLbl val="0"/>
      </c:catAx>
      <c:valAx>
        <c:axId val="73841664"/>
        <c:scaling>
          <c:orientation val="minMax"/>
          <c:max val="190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84012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'HHI - Neživotno'!$D$36:$G$36</c:f>
              <c:numCache>
                <c:formatCode>0.00%</c:formatCode>
                <c:ptCount val="4"/>
                <c:pt idx="0">
                  <c:v>0.42781843844584272</c:v>
                </c:pt>
                <c:pt idx="1">
                  <c:v>0.42545381333834464</c:v>
                </c:pt>
                <c:pt idx="2">
                  <c:v>0.41911138717981927</c:v>
                </c:pt>
                <c:pt idx="3">
                  <c:v>0.42737787120706572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40480"/>
        <c:axId val="94742016"/>
      </c:barChart>
      <c:lineChart>
        <c:grouping val="stacked"/>
        <c:varyColors val="0"/>
        <c:ser>
          <c:idx val="1"/>
          <c:order val="1"/>
          <c:tx>
            <c:strRef>
              <c:f>'HHI - Neživotno'!$B$37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'HHI - Neživotno'!$D$37:$G$37</c:f>
              <c:numCache>
                <c:formatCode>#,##0</c:formatCode>
                <c:ptCount val="4"/>
                <c:pt idx="0">
                  <c:v>727.8758084597531</c:v>
                </c:pt>
                <c:pt idx="1">
                  <c:v>718.20012282883738</c:v>
                </c:pt>
                <c:pt idx="2">
                  <c:v>722.94424020402721</c:v>
                </c:pt>
                <c:pt idx="3">
                  <c:v>711.54978056962295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3936"/>
        <c:axId val="95220864"/>
      </c:lineChart>
      <c:catAx>
        <c:axId val="947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742016"/>
        <c:crossesAt val="0.35000000000000031"/>
        <c:auto val="1"/>
        <c:lblAlgn val="ctr"/>
        <c:lblOffset val="100"/>
        <c:noMultiLvlLbl val="0"/>
      </c:catAx>
      <c:valAx>
        <c:axId val="94742016"/>
        <c:scaling>
          <c:orientation val="minMax"/>
          <c:max val="0.55000000000000004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740480"/>
        <c:crosses val="autoZero"/>
        <c:crossBetween val="between"/>
      </c:valAx>
      <c:catAx>
        <c:axId val="9474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220864"/>
        <c:crosses val="autoZero"/>
        <c:auto val="1"/>
        <c:lblAlgn val="ctr"/>
        <c:lblOffset val="100"/>
        <c:noMultiLvlLbl val="0"/>
      </c:catAx>
      <c:valAx>
        <c:axId val="95220864"/>
        <c:scaling>
          <c:orientation val="minMax"/>
          <c:max val="800"/>
          <c:min val="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74393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'HHI - Ukupno'!$D$36:$G$36</c:f>
              <c:numCache>
                <c:formatCode>0.00%</c:formatCode>
                <c:ptCount val="4"/>
                <c:pt idx="0">
                  <c:v>0.38539307513204202</c:v>
                </c:pt>
                <c:pt idx="1">
                  <c:v>0.38198608980488336</c:v>
                </c:pt>
                <c:pt idx="2">
                  <c:v>0.38058227303103448</c:v>
                </c:pt>
                <c:pt idx="3">
                  <c:v>0.38564976640093712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00736"/>
        <c:axId val="57702272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</c:strCache>
            </c:strRef>
          </c:cat>
          <c:val>
            <c:numRef>
              <c:f>'HHI - Ukupno'!$D$37:$G$37</c:f>
              <c:numCache>
                <c:formatCode>#,##0</c:formatCode>
                <c:ptCount val="4"/>
                <c:pt idx="0">
                  <c:v>643.02053062826383</c:v>
                </c:pt>
                <c:pt idx="1">
                  <c:v>636.76559576579291</c:v>
                </c:pt>
                <c:pt idx="2">
                  <c:v>640.61210821122734</c:v>
                </c:pt>
                <c:pt idx="3">
                  <c:v>636.6864040816854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03808"/>
        <c:axId val="57705600"/>
      </c:lineChart>
      <c:catAx>
        <c:axId val="577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7702272"/>
        <c:crossesAt val="0.30000000000000032"/>
        <c:auto val="1"/>
        <c:lblAlgn val="ctr"/>
        <c:lblOffset val="100"/>
        <c:noMultiLvlLbl val="0"/>
      </c:catAx>
      <c:valAx>
        <c:axId val="57702272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7700736"/>
        <c:crosses val="autoZero"/>
        <c:crossBetween val="between"/>
        <c:majorUnit val="0.05"/>
        <c:minorUnit val="1.0000000000000005E-2"/>
      </c:valAx>
      <c:catAx>
        <c:axId val="5770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7705600"/>
        <c:crossesAt val="500"/>
        <c:auto val="1"/>
        <c:lblAlgn val="ctr"/>
        <c:lblOffset val="100"/>
        <c:noMultiLvlLbl val="0"/>
      </c:catAx>
      <c:valAx>
        <c:axId val="57705600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770380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38100</xdr:rowOff>
    </xdr:from>
    <xdr:to>
      <xdr:col>5</xdr:col>
      <xdr:colOff>702687</xdr:colOff>
      <xdr:row>24</xdr:row>
      <xdr:rowOff>47625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25</xdr:row>
      <xdr:rowOff>19050</xdr:rowOff>
    </xdr:from>
    <xdr:to>
      <xdr:col>6</xdr:col>
      <xdr:colOff>114301</xdr:colOff>
      <xdr:row>43</xdr:row>
      <xdr:rowOff>152400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38</xdr:row>
      <xdr:rowOff>9525</xdr:rowOff>
    </xdr:from>
    <xdr:to>
      <xdr:col>6</xdr:col>
      <xdr:colOff>19051</xdr:colOff>
      <xdr:row>55</xdr:row>
      <xdr:rowOff>114300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9525</xdr:rowOff>
    </xdr:from>
    <xdr:to>
      <xdr:col>6</xdr:col>
      <xdr:colOff>19050</xdr:colOff>
      <xdr:row>55</xdr:row>
      <xdr:rowOff>114300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31.28515625" style="1" customWidth="1"/>
    <col min="3" max="3" width="10.85546875" style="1" customWidth="1"/>
    <col min="4" max="4" width="10.5703125" style="1" customWidth="1"/>
    <col min="5" max="5" width="11.5703125" style="1" customWidth="1"/>
    <col min="6" max="6" width="10.7109375" style="1" customWidth="1"/>
    <col min="7" max="16384" width="10.42578125" style="1"/>
  </cols>
  <sheetData>
    <row r="2" spans="2:6" ht="15.75" x14ac:dyDescent="0.25">
      <c r="B2" s="92" t="s">
        <v>41</v>
      </c>
      <c r="C2" s="93"/>
      <c r="D2" s="93"/>
      <c r="E2" s="93"/>
      <c r="F2" s="94"/>
    </row>
    <row r="3" spans="2:6" ht="13.5" thickBot="1" x14ac:dyDescent="0.25">
      <c r="C3" s="2"/>
      <c r="D3" s="2"/>
    </row>
    <row r="4" spans="2:6" ht="26.25" customHeight="1" x14ac:dyDescent="0.2">
      <c r="B4" s="37" t="s">
        <v>29</v>
      </c>
      <c r="C4" s="38" t="s">
        <v>3</v>
      </c>
      <c r="D4" s="38" t="s">
        <v>4</v>
      </c>
      <c r="E4" s="38" t="s">
        <v>36</v>
      </c>
      <c r="F4" s="39" t="s">
        <v>38</v>
      </c>
    </row>
    <row r="5" spans="2:6" ht="15" x14ac:dyDescent="0.25">
      <c r="B5" s="40" t="s">
        <v>45</v>
      </c>
      <c r="C5" s="59">
        <v>0.46009999999999995</v>
      </c>
      <c r="D5" s="59">
        <v>0.45996318241812234</v>
      </c>
      <c r="E5" s="59">
        <v>0.45265216480212045</v>
      </c>
      <c r="F5" s="61">
        <f>SUM('HHI - Ukupno'!M6:M10)/100</f>
        <v>0.46232033337302952</v>
      </c>
    </row>
    <row r="6" spans="2:6" ht="15" x14ac:dyDescent="0.25">
      <c r="B6" s="41" t="s">
        <v>46</v>
      </c>
      <c r="C6" s="59">
        <v>0.71709999999999996</v>
      </c>
      <c r="D6" s="59">
        <v>0.70750249728638481</v>
      </c>
      <c r="E6" s="59">
        <v>0.71664408060870344</v>
      </c>
      <c r="F6" s="61">
        <f>SUM('HHI - Ukupno'!M6:M15)/100</f>
        <v>0.70918309628222076</v>
      </c>
    </row>
    <row r="7" spans="2:6" ht="15.75" thickBot="1" x14ac:dyDescent="0.3">
      <c r="B7" s="42" t="s">
        <v>28</v>
      </c>
      <c r="C7" s="60">
        <v>0.12429999999999999</v>
      </c>
      <c r="D7" s="60">
        <v>0.12791406348643214</v>
      </c>
      <c r="E7" s="60">
        <v>0.12780251496116019</v>
      </c>
      <c r="F7" s="62">
        <f>'HHI - Ukupno'!M6/100</f>
        <v>0.12285910652045545</v>
      </c>
    </row>
    <row r="26" spans="2:2" x14ac:dyDescent="0.2">
      <c r="B26" s="43"/>
    </row>
    <row r="27" spans="2:2" x14ac:dyDescent="0.2">
      <c r="B27" s="56"/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 Godišnje izvješće</oddHeader>
    <oddFooter>&amp;CU izvješće su uključeni podatci zaključno s 31.12.2013. godine.</oddFooter>
  </headerFooter>
  <ignoredErrors>
    <ignoredError sqref="F5:F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3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3" customWidth="1"/>
    <col min="2" max="2" width="29.42578125" style="3" customWidth="1"/>
    <col min="3" max="3" width="17.28515625" style="3" customWidth="1"/>
    <col min="4" max="4" width="7.85546875" style="3" customWidth="1"/>
    <col min="5" max="5" width="7.5703125" style="3" customWidth="1"/>
    <col min="6" max="6" width="17.5703125" style="3" customWidth="1"/>
    <col min="7" max="7" width="8.140625" style="3" customWidth="1"/>
    <col min="8" max="8" width="7.7109375" style="3" customWidth="1"/>
    <col min="9" max="9" width="17.7109375" style="3" customWidth="1"/>
    <col min="10" max="10" width="9" style="3" customWidth="1"/>
    <col min="11" max="11" width="7.7109375" style="3" customWidth="1"/>
    <col min="12" max="12" width="17.7109375" style="3" customWidth="1"/>
    <col min="13" max="13" width="8.28515625" style="3" customWidth="1"/>
    <col min="14" max="14" width="7.28515625" style="3" customWidth="1"/>
    <col min="15" max="15" width="8.28515625" style="3" bestFit="1" customWidth="1"/>
    <col min="16" max="16" width="7.28515625" style="3" bestFit="1" customWidth="1"/>
    <col min="17" max="17" width="6.140625" style="3" bestFit="1" customWidth="1"/>
    <col min="18" max="16384" width="10.42578125" style="3"/>
  </cols>
  <sheetData>
    <row r="1" spans="2:16" ht="15.75" customHeight="1" x14ac:dyDescent="0.2"/>
    <row r="2" spans="2:16" ht="15.75" x14ac:dyDescent="0.25">
      <c r="B2" s="95" t="s">
        <v>30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5"/>
    </row>
    <row r="3" spans="2:16" ht="16.5" thickBot="1" x14ac:dyDescent="0.3">
      <c r="B3" s="5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6" ht="15.75" x14ac:dyDescent="0.25">
      <c r="B4" s="104" t="s">
        <v>47</v>
      </c>
      <c r="C4" s="98" t="s">
        <v>3</v>
      </c>
      <c r="D4" s="98"/>
      <c r="E4" s="98"/>
      <c r="F4" s="98" t="s">
        <v>4</v>
      </c>
      <c r="G4" s="98"/>
      <c r="H4" s="98"/>
      <c r="I4" s="98" t="s">
        <v>36</v>
      </c>
      <c r="J4" s="98"/>
      <c r="K4" s="98"/>
      <c r="L4" s="98" t="s">
        <v>43</v>
      </c>
      <c r="M4" s="98"/>
      <c r="N4" s="99"/>
      <c r="O4" s="5"/>
    </row>
    <row r="5" spans="2:16" ht="39" customHeight="1" x14ac:dyDescent="0.25">
      <c r="B5" s="105"/>
      <c r="C5" s="13" t="s">
        <v>48</v>
      </c>
      <c r="D5" s="13" t="s">
        <v>2</v>
      </c>
      <c r="E5" s="14" t="s">
        <v>0</v>
      </c>
      <c r="F5" s="13" t="s">
        <v>48</v>
      </c>
      <c r="G5" s="13" t="s">
        <v>2</v>
      </c>
      <c r="H5" s="14" t="s">
        <v>0</v>
      </c>
      <c r="I5" s="13" t="s">
        <v>48</v>
      </c>
      <c r="J5" s="13" t="s">
        <v>2</v>
      </c>
      <c r="K5" s="14" t="s">
        <v>0</v>
      </c>
      <c r="L5" s="13" t="s">
        <v>48</v>
      </c>
      <c r="M5" s="13" t="s">
        <v>2</v>
      </c>
      <c r="N5" s="15" t="s">
        <v>0</v>
      </c>
      <c r="O5" s="5"/>
    </row>
    <row r="6" spans="2:16" ht="15.75" x14ac:dyDescent="0.25">
      <c r="B6" s="69" t="s">
        <v>6</v>
      </c>
      <c r="C6" s="64">
        <v>19208</v>
      </c>
      <c r="D6" s="16">
        <v>25.766295089004252</v>
      </c>
      <c r="E6" s="17">
        <v>663.90196261364463</v>
      </c>
      <c r="F6" s="64">
        <v>20841.827390000002</v>
      </c>
      <c r="G6" s="16">
        <v>26.032962227997636</v>
      </c>
      <c r="H6" s="17">
        <v>677.7151223643516</v>
      </c>
      <c r="I6" s="67">
        <v>21857.921329999997</v>
      </c>
      <c r="J6" s="16">
        <v>25.368705058561535</v>
      </c>
      <c r="K6" s="17">
        <v>643.57119634828564</v>
      </c>
      <c r="L6" s="67">
        <f>25415327.3099989/1000</f>
        <v>25415.327309998898</v>
      </c>
      <c r="M6" s="16">
        <f t="shared" ref="M6:M17" si="0">L6/L$18*100</f>
        <v>25.47261798883315</v>
      </c>
      <c r="N6" s="18">
        <f t="shared" ref="N6:N17" si="1">M6^2</f>
        <v>648.85426720502619</v>
      </c>
      <c r="O6" s="5"/>
    </row>
    <row r="7" spans="2:16" ht="15.75" x14ac:dyDescent="0.25">
      <c r="B7" s="69" t="s">
        <v>7</v>
      </c>
      <c r="C7" s="65">
        <v>14126</v>
      </c>
      <c r="D7" s="16">
        <v>18.949119347525723</v>
      </c>
      <c r="E7" s="17">
        <v>359.06912404677371</v>
      </c>
      <c r="F7" s="64">
        <v>17319.857019999999</v>
      </c>
      <c r="G7" s="16">
        <v>21.633764408408702</v>
      </c>
      <c r="H7" s="17">
        <v>468.01976247853111</v>
      </c>
      <c r="I7" s="67">
        <v>18695.90221</v>
      </c>
      <c r="J7" s="16">
        <v>21.698807576831864</v>
      </c>
      <c r="K7" s="17">
        <v>470.83825025637594</v>
      </c>
      <c r="L7" s="67">
        <f>24009000.9/1000</f>
        <v>24009.000899999999</v>
      </c>
      <c r="M7" s="16">
        <f t="shared" si="0"/>
        <v>24.06312146838442</v>
      </c>
      <c r="N7" s="18">
        <f>M7^2</f>
        <v>579.03381480222311</v>
      </c>
      <c r="O7" s="5"/>
      <c r="P7" s="4" t="s">
        <v>1</v>
      </c>
    </row>
    <row r="8" spans="2:16" ht="15.75" x14ac:dyDescent="0.25">
      <c r="B8" s="69" t="s">
        <v>8</v>
      </c>
      <c r="C8" s="64">
        <v>16870</v>
      </c>
      <c r="D8" s="16">
        <v>22.630018645954898</v>
      </c>
      <c r="E8" s="17">
        <v>512.11774391626636</v>
      </c>
      <c r="F8" s="64">
        <v>16739.99019</v>
      </c>
      <c r="G8" s="16">
        <v>20.909468452963754</v>
      </c>
      <c r="H8" s="17">
        <v>437.20587098548646</v>
      </c>
      <c r="I8" s="67">
        <v>18067.038690000001</v>
      </c>
      <c r="J8" s="16">
        <v>20.968937022349053</v>
      </c>
      <c r="K8" s="17">
        <v>439.69631984724077</v>
      </c>
      <c r="L8" s="67">
        <f>19749954.2499999/1000</f>
        <v>19749.954249999901</v>
      </c>
      <c r="M8" s="16">
        <f t="shared" si="0"/>
        <v>19.794474167926861</v>
      </c>
      <c r="N8" s="18">
        <f t="shared" si="1"/>
        <v>391.82120758472382</v>
      </c>
      <c r="O8" s="5"/>
    </row>
    <row r="9" spans="2:16" ht="15.75" x14ac:dyDescent="0.25">
      <c r="B9" s="70" t="s">
        <v>9</v>
      </c>
      <c r="C9" s="65">
        <v>8552</v>
      </c>
      <c r="D9" s="16">
        <v>11.471957288690357</v>
      </c>
      <c r="E9" s="17">
        <v>131.6058040335358</v>
      </c>
      <c r="F9" s="64">
        <v>9429.3279999999995</v>
      </c>
      <c r="G9" s="16">
        <v>11.777918273000362</v>
      </c>
      <c r="H9" s="17">
        <v>138.71935884547582</v>
      </c>
      <c r="I9" s="67">
        <v>10254.981</v>
      </c>
      <c r="J9" s="16">
        <v>11.902119348059363</v>
      </c>
      <c r="K9" s="17">
        <v>141.66044497544905</v>
      </c>
      <c r="L9" s="67">
        <f>11444276.39/1000</f>
        <v>11444.276390000001</v>
      </c>
      <c r="M9" s="16">
        <f t="shared" si="0"/>
        <v>11.470073829283498</v>
      </c>
      <c r="N9" s="18">
        <f t="shared" si="1"/>
        <v>131.56259364921422</v>
      </c>
      <c r="O9" s="5"/>
    </row>
    <row r="10" spans="2:16" ht="15.75" x14ac:dyDescent="0.25">
      <c r="B10" s="69" t="s">
        <v>10</v>
      </c>
      <c r="C10" s="64">
        <v>6504</v>
      </c>
      <c r="D10" s="19">
        <v>8.7246971709123109</v>
      </c>
      <c r="E10" s="17">
        <v>76.120340724125285</v>
      </c>
      <c r="F10" s="64">
        <v>5813.1820800000005</v>
      </c>
      <c r="G10" s="19">
        <v>7.2610883240364812</v>
      </c>
      <c r="H10" s="17">
        <v>52.723403649458916</v>
      </c>
      <c r="I10" s="67">
        <v>5717.0856199999998</v>
      </c>
      <c r="J10" s="19">
        <v>6.6353546020527938</v>
      </c>
      <c r="K10" s="17">
        <v>44.027930694983191</v>
      </c>
      <c r="L10" s="67">
        <f>5868018.46/1000</f>
        <v>5868.0184600000002</v>
      </c>
      <c r="M10" s="19">
        <f t="shared" si="0"/>
        <v>5.881246019766782</v>
      </c>
      <c r="N10" s="18">
        <f t="shared" si="1"/>
        <v>34.589054745022615</v>
      </c>
      <c r="O10" s="5"/>
    </row>
    <row r="11" spans="2:16" ht="15.75" x14ac:dyDescent="0.25">
      <c r="B11" s="69" t="s">
        <v>11</v>
      </c>
      <c r="C11" s="65">
        <v>3110</v>
      </c>
      <c r="D11" s="19">
        <v>4.1718647296336533</v>
      </c>
      <c r="E11" s="17">
        <v>17.404455322361276</v>
      </c>
      <c r="F11" s="64">
        <v>3703.9716400000002</v>
      </c>
      <c r="G11" s="19">
        <v>4.6265306776295319</v>
      </c>
      <c r="H11" s="17">
        <v>21.404786111047176</v>
      </c>
      <c r="I11" s="64">
        <v>4489.4886999999999</v>
      </c>
      <c r="J11" s="19">
        <v>5.2105830638948891</v>
      </c>
      <c r="K11" s="17">
        <v>27.150175865748249</v>
      </c>
      <c r="L11" s="67">
        <f>4644477.40099999/1000</f>
        <v>4644.4774009999901</v>
      </c>
      <c r="M11" s="19">
        <f t="shared" si="0"/>
        <v>4.6549468810852996</v>
      </c>
      <c r="N11" s="18">
        <f t="shared" si="1"/>
        <v>21.668530465725759</v>
      </c>
      <c r="O11" s="5"/>
    </row>
    <row r="12" spans="2:16" ht="15.75" x14ac:dyDescent="0.25">
      <c r="B12" s="69" t="s">
        <v>32</v>
      </c>
      <c r="C12" s="65">
        <v>2545</v>
      </c>
      <c r="D12" s="19">
        <v>3.4139536131568002</v>
      </c>
      <c r="E12" s="17">
        <v>11.655079272786372</v>
      </c>
      <c r="F12" s="64">
        <v>2244.605</v>
      </c>
      <c r="G12" s="19">
        <v>2.8036753250250683</v>
      </c>
      <c r="H12" s="17">
        <v>7.8605953281544227</v>
      </c>
      <c r="I12" s="64">
        <v>2515.2489999999998</v>
      </c>
      <c r="J12" s="19">
        <v>2.9192441983156248</v>
      </c>
      <c r="K12" s="17">
        <v>8.5219866893994354</v>
      </c>
      <c r="L12" s="67">
        <f>3887075.48/1000</f>
        <v>3887.07548</v>
      </c>
      <c r="M12" s="19">
        <f t="shared" si="0"/>
        <v>3.8958376411247784</v>
      </c>
      <c r="N12" s="18">
        <f>M12^2</f>
        <v>15.177550926004677</v>
      </c>
      <c r="O12" s="5"/>
    </row>
    <row r="13" spans="2:16" ht="15.75" x14ac:dyDescent="0.25">
      <c r="B13" s="69" t="s">
        <v>37</v>
      </c>
      <c r="C13" s="65">
        <v>2818</v>
      </c>
      <c r="D13" s="19">
        <v>3.7801655331535802</v>
      </c>
      <c r="E13" s="17">
        <v>14.289651458042298</v>
      </c>
      <c r="F13" s="64">
        <v>2894.5597699999998</v>
      </c>
      <c r="G13" s="19">
        <v>3.6155162284496543</v>
      </c>
      <c r="H13" s="17">
        <v>13.0719575981828</v>
      </c>
      <c r="I13" s="64">
        <v>3112.9717599999999</v>
      </c>
      <c r="J13" s="19">
        <v>3.6129722146397349</v>
      </c>
      <c r="K13" s="17">
        <v>13.05356822375875</v>
      </c>
      <c r="L13" s="67">
        <f>3130227.65/1000</f>
        <v>3130.2276499999998</v>
      </c>
      <c r="M13" s="19">
        <f t="shared" si="0"/>
        <v>3.1372837411841452</v>
      </c>
      <c r="N13" s="18">
        <f t="shared" si="1"/>
        <v>9.8425492726983865</v>
      </c>
      <c r="O13" s="5"/>
    </row>
    <row r="14" spans="2:16" ht="15.75" x14ac:dyDescent="0.25">
      <c r="B14" s="71" t="s">
        <v>12</v>
      </c>
      <c r="C14" s="66">
        <v>297</v>
      </c>
      <c r="D14" s="19">
        <v>0.4</v>
      </c>
      <c r="E14" s="90">
        <v>0</v>
      </c>
      <c r="F14" s="67">
        <v>565.61500000000001</v>
      </c>
      <c r="G14" s="19">
        <v>0.70649438050973512</v>
      </c>
      <c r="H14" s="90">
        <v>0</v>
      </c>
      <c r="I14" s="64">
        <v>777.30200000000002</v>
      </c>
      <c r="J14" s="19">
        <v>0.90215098140944761</v>
      </c>
      <c r="K14" s="17">
        <v>0.81387639325802952</v>
      </c>
      <c r="L14" s="67">
        <f>1000312.5/1000</f>
        <v>1000.3125</v>
      </c>
      <c r="M14" s="19">
        <f t="shared" si="0"/>
        <v>1.0025673827120098</v>
      </c>
      <c r="N14" s="18">
        <f t="shared" si="1"/>
        <v>1.0051413568780097</v>
      </c>
      <c r="O14" s="5"/>
    </row>
    <row r="15" spans="2:16" ht="15.75" x14ac:dyDescent="0.25">
      <c r="B15" s="69" t="s">
        <v>13</v>
      </c>
      <c r="C15" s="66">
        <v>65</v>
      </c>
      <c r="D15" s="19">
        <v>0.09</v>
      </c>
      <c r="E15" s="91">
        <v>0</v>
      </c>
      <c r="F15" s="79">
        <v>293.423</v>
      </c>
      <c r="G15" s="19">
        <v>0.36650672385334199</v>
      </c>
      <c r="H15" s="91">
        <v>0</v>
      </c>
      <c r="I15" s="64">
        <v>525.61599999999999</v>
      </c>
      <c r="J15" s="19">
        <v>0.61003958595823526</v>
      </c>
      <c r="K15" s="17">
        <v>0.37214829643609509</v>
      </c>
      <c r="L15" s="67">
        <f>626418.82/1000</f>
        <v>626.41881999999998</v>
      </c>
      <c r="M15" s="19">
        <f t="shared" si="0"/>
        <v>0.62783087969903972</v>
      </c>
      <c r="N15" s="18">
        <f>M15^2</f>
        <v>0.39417161350367008</v>
      </c>
      <c r="O15" s="5"/>
    </row>
    <row r="16" spans="2:16" ht="15.75" x14ac:dyDescent="0.25">
      <c r="B16" s="71" t="s">
        <v>42</v>
      </c>
      <c r="C16" s="66">
        <v>312</v>
      </c>
      <c r="D16" s="19">
        <v>0.41852790856774919</v>
      </c>
      <c r="E16" s="17">
        <v>0.17516561025009422</v>
      </c>
      <c r="F16" s="64">
        <v>213.01796999999999</v>
      </c>
      <c r="G16" s="19">
        <v>0.2660749781257416</v>
      </c>
      <c r="H16" s="17">
        <v>7.0795893984613875E-2</v>
      </c>
      <c r="I16" s="64">
        <v>147.40965</v>
      </c>
      <c r="J16" s="19">
        <v>0.17108634792747632</v>
      </c>
      <c r="K16" s="17">
        <v>2.927053844716148E-2</v>
      </c>
      <c r="L16" s="67">
        <v>0</v>
      </c>
      <c r="M16" s="19">
        <f t="shared" si="0"/>
        <v>0</v>
      </c>
      <c r="N16" s="18">
        <f>M16^2</f>
        <v>0</v>
      </c>
      <c r="O16" s="5"/>
    </row>
    <row r="17" spans="2:15" ht="15.75" x14ac:dyDescent="0.25">
      <c r="B17" s="69" t="s">
        <v>14</v>
      </c>
      <c r="C17" s="65">
        <v>140</v>
      </c>
      <c r="D17" s="19">
        <v>0.18780098461373362</v>
      </c>
      <c r="E17" s="17">
        <v>3.5269209821887811E-2</v>
      </c>
      <c r="F17" s="64">
        <v>0</v>
      </c>
      <c r="G17" s="19">
        <v>0</v>
      </c>
      <c r="H17" s="17">
        <v>0</v>
      </c>
      <c r="I17" s="64">
        <v>0</v>
      </c>
      <c r="J17" s="19">
        <v>0</v>
      </c>
      <c r="K17" s="17">
        <v>0</v>
      </c>
      <c r="L17" s="67">
        <v>0</v>
      </c>
      <c r="M17" s="19">
        <f t="shared" si="0"/>
        <v>0</v>
      </c>
      <c r="N17" s="18">
        <f t="shared" si="1"/>
        <v>0</v>
      </c>
      <c r="O17" s="5"/>
    </row>
    <row r="18" spans="2:15" ht="16.5" thickBot="1" x14ac:dyDescent="0.3">
      <c r="B18" s="20" t="s">
        <v>5</v>
      </c>
      <c r="C18" s="21">
        <v>74547</v>
      </c>
      <c r="D18" s="22">
        <v>99.514400311213095</v>
      </c>
      <c r="E18" s="21">
        <v>1786.374596207608</v>
      </c>
      <c r="F18" s="21">
        <v>80059.377059999999</v>
      </c>
      <c r="G18" s="22">
        <v>100.00000000000001</v>
      </c>
      <c r="H18" s="21">
        <v>1816.7916532546731</v>
      </c>
      <c r="I18" s="21">
        <v>86160.965959999987</v>
      </c>
      <c r="J18" s="22">
        <v>100.00000000000001</v>
      </c>
      <c r="K18" s="21">
        <v>1789.7351681293824</v>
      </c>
      <c r="L18" s="87">
        <f t="shared" ref="L18:N18" si="2">SUM(L6:L17)</f>
        <v>99775.089160998803</v>
      </c>
      <c r="M18" s="22">
        <f t="shared" si="2"/>
        <v>99.999999999999986</v>
      </c>
      <c r="N18" s="45">
        <f t="shared" si="2"/>
        <v>1833.9488816210205</v>
      </c>
      <c r="O18" s="5"/>
    </row>
    <row r="19" spans="2:15" ht="15.75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2:15" ht="16.5" thickBot="1" x14ac:dyDescent="0.3">
      <c r="B20" s="6"/>
      <c r="C20" s="5"/>
      <c r="D20" s="5"/>
      <c r="E20" s="5"/>
      <c r="F20" s="5"/>
      <c r="G20" s="5"/>
      <c r="H20" s="5"/>
      <c r="I20" s="5"/>
      <c r="J20" s="5"/>
      <c r="K20" s="5"/>
      <c r="L20" s="50"/>
      <c r="M20" s="5"/>
      <c r="N20" s="5"/>
      <c r="O20" s="5"/>
    </row>
    <row r="21" spans="2:15" ht="15.75" x14ac:dyDescent="0.25">
      <c r="B21" s="100"/>
      <c r="C21" s="101"/>
      <c r="D21" s="46" t="s">
        <v>3</v>
      </c>
      <c r="E21" s="46" t="s">
        <v>4</v>
      </c>
      <c r="F21" s="46" t="s">
        <v>36</v>
      </c>
      <c r="G21" s="47" t="s">
        <v>38</v>
      </c>
      <c r="H21" s="5"/>
      <c r="I21" s="51" t="s">
        <v>51</v>
      </c>
      <c r="J21" s="5"/>
      <c r="K21" s="5"/>
      <c r="L21" s="50"/>
      <c r="M21" s="5"/>
      <c r="N21" s="5"/>
      <c r="O21" s="5"/>
    </row>
    <row r="22" spans="2:15" ht="15.75" x14ac:dyDescent="0.25">
      <c r="B22" s="106" t="s">
        <v>31</v>
      </c>
      <c r="C22" s="107"/>
      <c r="D22" s="72">
        <v>0.78817390371175233</v>
      </c>
      <c r="E22" s="72">
        <v>0.80354113362370461</v>
      </c>
      <c r="F22" s="72">
        <v>0.79938569005801807</v>
      </c>
      <c r="G22" s="48">
        <f>(M6+M8+M7+M9)/100</f>
        <v>0.80800287454427933</v>
      </c>
      <c r="H22" s="5"/>
      <c r="I22" s="44" t="s">
        <v>40</v>
      </c>
      <c r="J22" s="5"/>
      <c r="K22" s="5"/>
      <c r="L22" s="7"/>
      <c r="M22" s="5"/>
      <c r="N22" s="5"/>
      <c r="O22" s="5"/>
    </row>
    <row r="23" spans="2:15" ht="16.5" thickBot="1" x14ac:dyDescent="0.3">
      <c r="B23" s="102" t="s">
        <v>0</v>
      </c>
      <c r="C23" s="103"/>
      <c r="D23" s="68">
        <v>1786.374596207608</v>
      </c>
      <c r="E23" s="68">
        <v>1816.7916532546731</v>
      </c>
      <c r="F23" s="68">
        <v>1789.7351681293824</v>
      </c>
      <c r="G23" s="49">
        <f>N18</f>
        <v>1833.9488816210205</v>
      </c>
      <c r="H23" s="5"/>
      <c r="J23" s="5"/>
      <c r="K23" s="5"/>
      <c r="L23" s="57"/>
      <c r="M23" s="5"/>
      <c r="N23" s="5"/>
      <c r="O23" s="5"/>
    </row>
    <row r="24" spans="2:15" x14ac:dyDescent="0.2">
      <c r="I24" s="3" t="s">
        <v>49</v>
      </c>
      <c r="L24" s="57"/>
    </row>
    <row r="25" spans="2:15" x14ac:dyDescent="0.2">
      <c r="I25" s="3" t="s">
        <v>44</v>
      </c>
      <c r="L25" s="63"/>
      <c r="M25" s="4"/>
      <c r="N25" s="63"/>
    </row>
    <row r="27" spans="2:15" x14ac:dyDescent="0.2">
      <c r="F27" s="10"/>
    </row>
    <row r="28" spans="2:15" x14ac:dyDescent="0.2">
      <c r="F28" s="10"/>
    </row>
    <row r="29" spans="2:15" x14ac:dyDescent="0.2">
      <c r="F29" s="10"/>
    </row>
    <row r="30" spans="2:15" x14ac:dyDescent="0.2">
      <c r="F30" s="10"/>
    </row>
    <row r="31" spans="2:15" x14ac:dyDescent="0.2">
      <c r="F31" s="10"/>
    </row>
    <row r="32" spans="2:15" x14ac:dyDescent="0.2">
      <c r="F32" s="10"/>
    </row>
    <row r="33" spans="6:6" x14ac:dyDescent="0.2">
      <c r="F33" s="11"/>
    </row>
  </sheetData>
  <mergeCells count="9">
    <mergeCell ref="B2:N2"/>
    <mergeCell ref="L4:N4"/>
    <mergeCell ref="B21:C21"/>
    <mergeCell ref="B23:C23"/>
    <mergeCell ref="B4:B5"/>
    <mergeCell ref="C4:E4"/>
    <mergeCell ref="F4:H4"/>
    <mergeCell ref="I4:K4"/>
    <mergeCell ref="B22:C2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29.42578125" style="5" customWidth="1"/>
    <col min="3" max="3" width="17.7109375" style="5" customWidth="1"/>
    <col min="4" max="4" width="9.28515625" style="5" customWidth="1"/>
    <col min="5" max="5" width="8.42578125" style="5" customWidth="1"/>
    <col min="6" max="6" width="17.7109375" style="5" customWidth="1"/>
    <col min="7" max="7" width="9.5703125" style="5" customWidth="1"/>
    <col min="8" max="8" width="7.85546875" style="5" customWidth="1"/>
    <col min="9" max="9" width="17.7109375" style="5" customWidth="1"/>
    <col min="10" max="10" width="9.28515625" style="5" customWidth="1"/>
    <col min="11" max="11" width="7.85546875" style="5" customWidth="1"/>
    <col min="12" max="12" width="17.7109375" style="5" customWidth="1"/>
    <col min="13" max="13" width="8.5703125" style="5" customWidth="1"/>
    <col min="14" max="14" width="8.42578125" style="5" customWidth="1"/>
    <col min="15" max="15" width="8.42578125" style="5" bestFit="1" customWidth="1"/>
    <col min="16" max="16" width="7.28515625" style="5" bestFit="1" customWidth="1"/>
    <col min="17" max="17" width="4.5703125" style="5" bestFit="1" customWidth="1"/>
    <col min="18" max="16384" width="10.42578125" style="5"/>
  </cols>
  <sheetData>
    <row r="1" spans="2:14" ht="15.75" customHeight="1" x14ac:dyDescent="0.25"/>
    <row r="2" spans="2:14" x14ac:dyDescent="0.25">
      <c r="B2" s="108" t="s">
        <v>33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</row>
    <row r="3" spans="2:14" ht="16.5" thickBot="1" x14ac:dyDescent="0.3">
      <c r="B3" s="56"/>
    </row>
    <row r="4" spans="2:14" x14ac:dyDescent="0.25">
      <c r="B4" s="104" t="s">
        <v>50</v>
      </c>
      <c r="C4" s="98" t="s">
        <v>3</v>
      </c>
      <c r="D4" s="98"/>
      <c r="E4" s="98"/>
      <c r="F4" s="98" t="s">
        <v>4</v>
      </c>
      <c r="G4" s="98"/>
      <c r="H4" s="98"/>
      <c r="I4" s="98" t="s">
        <v>36</v>
      </c>
      <c r="J4" s="98"/>
      <c r="K4" s="98"/>
      <c r="L4" s="98" t="s">
        <v>43</v>
      </c>
      <c r="M4" s="98"/>
      <c r="N4" s="99"/>
    </row>
    <row r="5" spans="2:14" ht="42" customHeight="1" x14ac:dyDescent="0.25">
      <c r="B5" s="105"/>
      <c r="C5" s="13" t="s">
        <v>48</v>
      </c>
      <c r="D5" s="13" t="s">
        <v>2</v>
      </c>
      <c r="E5" s="14" t="s">
        <v>0</v>
      </c>
      <c r="F5" s="13" t="s">
        <v>48</v>
      </c>
      <c r="G5" s="13" t="s">
        <v>2</v>
      </c>
      <c r="H5" s="14" t="s">
        <v>0</v>
      </c>
      <c r="I5" s="13" t="s">
        <v>48</v>
      </c>
      <c r="J5" s="13" t="s">
        <v>2</v>
      </c>
      <c r="K5" s="14" t="s">
        <v>0</v>
      </c>
      <c r="L5" s="13" t="s">
        <v>48</v>
      </c>
      <c r="M5" s="13" t="s">
        <v>2</v>
      </c>
      <c r="N5" s="15" t="s">
        <v>0</v>
      </c>
    </row>
    <row r="6" spans="2:14" x14ac:dyDescent="0.25">
      <c r="B6" s="73" t="s">
        <v>37</v>
      </c>
      <c r="C6" s="76">
        <v>55835</v>
      </c>
      <c r="D6" s="16">
        <v>14.047848478977917</v>
      </c>
      <c r="E6" s="23">
        <v>197.34204688832219</v>
      </c>
      <c r="F6" s="76">
        <v>59541.809000000001</v>
      </c>
      <c r="G6" s="16">
        <v>14.59170438726577</v>
      </c>
      <c r="H6" s="23">
        <v>212.91783692535111</v>
      </c>
      <c r="I6" s="79">
        <v>61439.14748</v>
      </c>
      <c r="J6" s="16">
        <v>14.66566992120358</v>
      </c>
      <c r="K6" s="23">
        <v>215.08187423769544</v>
      </c>
      <c r="L6" s="79">
        <f>61620397.69/1000</f>
        <v>61620.397689999998</v>
      </c>
      <c r="M6" s="16">
        <f t="shared" ref="M6:M31" si="0">L6/L$32*100</f>
        <v>14.422344269927031</v>
      </c>
      <c r="N6" s="24">
        <f>M6^2</f>
        <v>208.00401424029707</v>
      </c>
    </row>
    <row r="7" spans="2:14" x14ac:dyDescent="0.25">
      <c r="B7" s="73" t="s">
        <v>15</v>
      </c>
      <c r="C7" s="76">
        <v>38874</v>
      </c>
      <c r="D7" s="16">
        <v>9.7805330307475167</v>
      </c>
      <c r="E7" s="23">
        <v>95.658826365543206</v>
      </c>
      <c r="F7" s="76">
        <v>40512.108</v>
      </c>
      <c r="G7" s="16">
        <v>9.9281616391766772</v>
      </c>
      <c r="H7" s="23">
        <v>98.568393533619329</v>
      </c>
      <c r="I7" s="79">
        <v>41999.219409999998</v>
      </c>
      <c r="J7" s="16">
        <v>10.025313079348519</v>
      </c>
      <c r="K7" s="23">
        <v>100.50690233895649</v>
      </c>
      <c r="L7" s="79">
        <f>44700286/1000</f>
        <v>44700.286</v>
      </c>
      <c r="M7" s="16">
        <f t="shared" si="0"/>
        <v>10.462167363791961</v>
      </c>
      <c r="N7" s="24">
        <f>M7^2</f>
        <v>109.45694594799363</v>
      </c>
    </row>
    <row r="8" spans="2:14" x14ac:dyDescent="0.25">
      <c r="B8" s="73" t="s">
        <v>32</v>
      </c>
      <c r="C8" s="76">
        <v>44011</v>
      </c>
      <c r="D8" s="16">
        <v>11.072980378047768</v>
      </c>
      <c r="E8" s="23">
        <v>122.6108944526309</v>
      </c>
      <c r="F8" s="76">
        <v>41305.199000000001</v>
      </c>
      <c r="G8" s="16">
        <v>10.122521696732218</v>
      </c>
      <c r="H8" s="23">
        <v>102.4654455008145</v>
      </c>
      <c r="I8" s="79">
        <v>41455.807829999998</v>
      </c>
      <c r="J8" s="16">
        <v>9.895599449024564</v>
      </c>
      <c r="K8" s="23">
        <v>97.922888455535258</v>
      </c>
      <c r="L8" s="79">
        <f>41739483.74/1000</f>
        <v>41739.483740000003</v>
      </c>
      <c r="M8" s="16">
        <f t="shared" si="0"/>
        <v>9.7691872612661417</v>
      </c>
      <c r="N8" s="24">
        <f t="shared" ref="N8:N31" si="1">M8^2</f>
        <v>95.437019745684651</v>
      </c>
    </row>
    <row r="9" spans="2:14" x14ac:dyDescent="0.25">
      <c r="B9" s="73" t="s">
        <v>10</v>
      </c>
      <c r="C9" s="77">
        <v>31322</v>
      </c>
      <c r="D9" s="16">
        <v>7.8804819568110736</v>
      </c>
      <c r="E9" s="23">
        <v>62.101995871624887</v>
      </c>
      <c r="F9" s="76">
        <v>32248.36</v>
      </c>
      <c r="G9" s="16">
        <v>7.902993610659796</v>
      </c>
      <c r="H9" s="23">
        <v>62.457308010129559</v>
      </c>
      <c r="I9" s="79">
        <v>30684.891670000001</v>
      </c>
      <c r="J9" s="16">
        <v>7.3245562684052619</v>
      </c>
      <c r="K9" s="23">
        <v>53.649124529034815</v>
      </c>
      <c r="L9" s="79">
        <f>34539789.24/1000</f>
        <v>34539.789240000006</v>
      </c>
      <c r="M9" s="16">
        <f t="shared" si="0"/>
        <v>8.0840882257214375</v>
      </c>
      <c r="N9" s="24">
        <f t="shared" si="1"/>
        <v>65.352482441247986</v>
      </c>
    </row>
    <row r="10" spans="2:14" x14ac:dyDescent="0.25">
      <c r="B10" s="73" t="s">
        <v>11</v>
      </c>
      <c r="C10" s="77">
        <v>28698</v>
      </c>
      <c r="D10" s="25">
        <v>7.2202947192568869</v>
      </c>
      <c r="E10" s="23">
        <v>52.13265583292889</v>
      </c>
      <c r="F10" s="76">
        <v>26940.925999999999</v>
      </c>
      <c r="G10" s="25">
        <v>6.6023191890458426</v>
      </c>
      <c r="H10" s="23">
        <v>43.59061867404295</v>
      </c>
      <c r="I10" s="79">
        <v>28126.94096</v>
      </c>
      <c r="J10" s="19">
        <v>6.7139673796225816</v>
      </c>
      <c r="K10" s="23">
        <v>45.077357974636115</v>
      </c>
      <c r="L10" s="79">
        <f>27252208.65/1000</f>
        <v>27252.208649999997</v>
      </c>
      <c r="M10" s="25">
        <f t="shared" si="0"/>
        <v>6.3784193221779155</v>
      </c>
      <c r="N10" s="24">
        <f>M10^2</f>
        <v>40.68423304953258</v>
      </c>
    </row>
    <row r="11" spans="2:14" x14ac:dyDescent="0.25">
      <c r="B11" s="74" t="s">
        <v>7</v>
      </c>
      <c r="C11" s="76">
        <v>21154</v>
      </c>
      <c r="D11" s="25">
        <v>5.3222564112885982</v>
      </c>
      <c r="E11" s="23">
        <v>28.326413307502587</v>
      </c>
      <c r="F11" s="76">
        <v>22633.794999999998</v>
      </c>
      <c r="G11" s="25">
        <v>5.5467855503344552</v>
      </c>
      <c r="H11" s="23">
        <v>30.766829941399106</v>
      </c>
      <c r="I11" s="76">
        <v>23011.035800000001</v>
      </c>
      <c r="J11" s="25">
        <v>5.4927887093103722</v>
      </c>
      <c r="K11" s="23">
        <v>30.170727805127505</v>
      </c>
      <c r="L11" s="79">
        <f>24163122.68/1000</f>
        <v>24163.12268</v>
      </c>
      <c r="M11" s="25">
        <f t="shared" si="0"/>
        <v>5.6554142295643786</v>
      </c>
      <c r="N11" s="24">
        <f>M11^2</f>
        <v>31.983710107959254</v>
      </c>
    </row>
    <row r="12" spans="2:14" x14ac:dyDescent="0.25">
      <c r="B12" s="73" t="s">
        <v>16</v>
      </c>
      <c r="C12" s="76">
        <v>26176</v>
      </c>
      <c r="D12" s="25">
        <v>6.58577024779665</v>
      </c>
      <c r="E12" s="23">
        <v>43.372369756763547</v>
      </c>
      <c r="F12" s="76">
        <v>24582.68</v>
      </c>
      <c r="G12" s="25">
        <v>6.0243920302581078</v>
      </c>
      <c r="H12" s="23">
        <v>36.293299334237403</v>
      </c>
      <c r="I12" s="76">
        <v>24483.962</v>
      </c>
      <c r="J12" s="19">
        <v>5.8443796794572886</v>
      </c>
      <c r="K12" s="23">
        <v>34.156773837653283</v>
      </c>
      <c r="L12" s="79">
        <f>23086074.8/1000</f>
        <v>23086.074800000002</v>
      </c>
      <c r="M12" s="25">
        <f t="shared" si="0"/>
        <v>5.4033295968312158</v>
      </c>
      <c r="N12" s="24">
        <f>M12^2</f>
        <v>29.19597073199219</v>
      </c>
    </row>
    <row r="13" spans="2:14" x14ac:dyDescent="0.25">
      <c r="B13" s="74" t="s">
        <v>12</v>
      </c>
      <c r="C13" s="76">
        <v>24165</v>
      </c>
      <c r="D13" s="25">
        <v>6.0798112025521869</v>
      </c>
      <c r="E13" s="23">
        <v>36.964104258679072</v>
      </c>
      <c r="F13" s="76">
        <v>23882.904999999999</v>
      </c>
      <c r="G13" s="25">
        <v>5.8529006008055875</v>
      </c>
      <c r="H13" s="23">
        <v>34.256445442910405</v>
      </c>
      <c r="I13" s="76">
        <v>29986.645</v>
      </c>
      <c r="J13" s="19">
        <v>7.15788313562566</v>
      </c>
      <c r="K13" s="23">
        <v>51.235290983274233</v>
      </c>
      <c r="L13" s="76">
        <f>22252877.51/1000</f>
        <v>22252.877510000002</v>
      </c>
      <c r="M13" s="25">
        <f t="shared" si="0"/>
        <v>5.2083185515990245</v>
      </c>
      <c r="N13" s="24">
        <f>M13^2</f>
        <v>27.126582134930558</v>
      </c>
    </row>
    <row r="14" spans="2:14" x14ac:dyDescent="0.25">
      <c r="B14" s="73" t="s">
        <v>13</v>
      </c>
      <c r="C14" s="76">
        <v>15974</v>
      </c>
      <c r="D14" s="25">
        <v>4.0189904469095232</v>
      </c>
      <c r="E14" s="23">
        <v>16.152284212350008</v>
      </c>
      <c r="F14" s="76">
        <v>16959.804</v>
      </c>
      <c r="G14" s="25">
        <v>4.1562802775100023</v>
      </c>
      <c r="H14" s="23">
        <v>17.27466574521862</v>
      </c>
      <c r="I14" s="76">
        <v>17563.335999999999</v>
      </c>
      <c r="J14" s="25">
        <v>4.1924098731194182</v>
      </c>
      <c r="K14" s="23">
        <v>17.576300544229177</v>
      </c>
      <c r="L14" s="76">
        <f>17249308.76/1000</f>
        <v>17249.30876</v>
      </c>
      <c r="M14" s="25">
        <f t="shared" si="0"/>
        <v>4.0372259621972617</v>
      </c>
      <c r="N14" s="24">
        <f t="shared" si="1"/>
        <v>16.299193469839604</v>
      </c>
    </row>
    <row r="15" spans="2:14" x14ac:dyDescent="0.25">
      <c r="B15" s="73" t="s">
        <v>18</v>
      </c>
      <c r="C15" s="76">
        <v>13623</v>
      </c>
      <c r="D15" s="25">
        <v>3.4274888480185575</v>
      </c>
      <c r="E15" s="23">
        <v>11.747679803291579</v>
      </c>
      <c r="F15" s="76">
        <v>14066.545</v>
      </c>
      <c r="G15" s="25">
        <v>3.4472393405140132</v>
      </c>
      <c r="H15" s="23">
        <v>11.883459070787488</v>
      </c>
      <c r="I15" s="76">
        <v>14922.084000000001</v>
      </c>
      <c r="J15" s="25">
        <v>3.5619367692514281</v>
      </c>
      <c r="K15" s="23">
        <v>12.687393548145302</v>
      </c>
      <c r="L15" s="76">
        <f>16908248.28/1000</f>
        <v>16908.24828</v>
      </c>
      <c r="M15" s="25">
        <f t="shared" si="0"/>
        <v>3.9574002576607126</v>
      </c>
      <c r="N15" s="24">
        <f>M15^2</f>
        <v>15.661016799333074</v>
      </c>
    </row>
    <row r="16" spans="2:14" x14ac:dyDescent="0.25">
      <c r="B16" s="73" t="s">
        <v>19</v>
      </c>
      <c r="C16" s="76">
        <v>8282</v>
      </c>
      <c r="D16" s="25">
        <v>2.0837159685304041</v>
      </c>
      <c r="E16" s="23">
        <v>4.3418722375085999</v>
      </c>
      <c r="F16" s="76">
        <v>12056.864</v>
      </c>
      <c r="G16" s="25">
        <v>2.954733795969597</v>
      </c>
      <c r="H16" s="23">
        <v>8.730451805044904</v>
      </c>
      <c r="I16" s="76">
        <v>14700.50144</v>
      </c>
      <c r="J16" s="25">
        <v>3.5090444877250095</v>
      </c>
      <c r="K16" s="23">
        <v>12.313393216833274</v>
      </c>
      <c r="L16" s="79">
        <f>16610467.46/1000</f>
        <v>16610.46746</v>
      </c>
      <c r="M16" s="25">
        <f t="shared" si="0"/>
        <v>3.8877042208933594</v>
      </c>
      <c r="N16" s="24">
        <f t="shared" ref="N16:N22" si="2">M16^2</f>
        <v>15.114244109152043</v>
      </c>
    </row>
    <row r="17" spans="2:14" x14ac:dyDescent="0.25">
      <c r="B17" s="73" t="s">
        <v>17</v>
      </c>
      <c r="C17" s="76">
        <v>15834</v>
      </c>
      <c r="D17" s="25">
        <v>3.9837670424668459</v>
      </c>
      <c r="E17" s="23">
        <v>15.870399848645039</v>
      </c>
      <c r="F17" s="76">
        <v>16385.739000000001</v>
      </c>
      <c r="G17" s="25">
        <v>4.0155961612602642</v>
      </c>
      <c r="H17" s="23">
        <v>16.125012530328171</v>
      </c>
      <c r="I17" s="76">
        <v>14884.678</v>
      </c>
      <c r="J17" s="25">
        <v>3.5530078685167443</v>
      </c>
      <c r="K17" s="23">
        <v>12.623864913741899</v>
      </c>
      <c r="L17" s="76">
        <f>15192779.12/1000</f>
        <v>15192.779119999999</v>
      </c>
      <c r="M17" s="25">
        <f t="shared" si="0"/>
        <v>3.55589218991941</v>
      </c>
      <c r="N17" s="24">
        <f>M17^2</f>
        <v>12.644369266329857</v>
      </c>
    </row>
    <row r="18" spans="2:14" x14ac:dyDescent="0.25">
      <c r="B18" s="73" t="s">
        <v>27</v>
      </c>
      <c r="C18" s="76">
        <v>12038</v>
      </c>
      <c r="D18" s="25">
        <v>3.0287095905782424</v>
      </c>
      <c r="E18" s="23">
        <v>9.1730817840606242</v>
      </c>
      <c r="F18" s="76">
        <v>14357.563</v>
      </c>
      <c r="G18" s="25">
        <v>3.5185581112852091</v>
      </c>
      <c r="H18" s="23">
        <v>12.380251182490937</v>
      </c>
      <c r="I18" s="76">
        <v>14213.268</v>
      </c>
      <c r="J18" s="25">
        <v>3.3927407123847253</v>
      </c>
      <c r="K18" s="23">
        <v>11.510689541472813</v>
      </c>
      <c r="L18" s="76">
        <f>14049276.66/1000</f>
        <v>14049.27666</v>
      </c>
      <c r="M18" s="25">
        <f t="shared" si="0"/>
        <v>3.2882537654711235</v>
      </c>
      <c r="N18" s="24">
        <f t="shared" si="2"/>
        <v>10.812612826135021</v>
      </c>
    </row>
    <row r="19" spans="2:14" x14ac:dyDescent="0.25">
      <c r="B19" s="73" t="s">
        <v>20</v>
      </c>
      <c r="C19" s="76">
        <v>11718</v>
      </c>
      <c r="D19" s="25">
        <v>2.9481989518521221</v>
      </c>
      <c r="E19" s="23">
        <v>8.6918770597019517</v>
      </c>
      <c r="F19" s="76">
        <v>11508.564</v>
      </c>
      <c r="G19" s="25">
        <v>2.8203638188071993</v>
      </c>
      <c r="H19" s="23">
        <v>7.9544520704367283</v>
      </c>
      <c r="I19" s="76">
        <v>12285.731</v>
      </c>
      <c r="J19" s="25">
        <v>2.9326330682786743</v>
      </c>
      <c r="K19" s="23">
        <v>8.6003367131615924</v>
      </c>
      <c r="L19" s="76">
        <f>13259365.98/1000</f>
        <v>13259.36598</v>
      </c>
      <c r="M19" s="25">
        <f t="shared" si="0"/>
        <v>3.1033740146657993</v>
      </c>
      <c r="N19" s="24">
        <f t="shared" si="2"/>
        <v>9.6309302749029211</v>
      </c>
    </row>
    <row r="20" spans="2:14" x14ac:dyDescent="0.25">
      <c r="B20" s="73" t="s">
        <v>22</v>
      </c>
      <c r="C20" s="76">
        <v>9474</v>
      </c>
      <c r="D20" s="25">
        <v>2.3836180977852028</v>
      </c>
      <c r="E20" s="23">
        <v>5.6816352360891491</v>
      </c>
      <c r="F20" s="76">
        <v>9813.9709999999995</v>
      </c>
      <c r="G20" s="25">
        <v>2.4050757963567921</v>
      </c>
      <c r="H20" s="23">
        <v>5.7843895862212582</v>
      </c>
      <c r="I20" s="76">
        <v>10028.18844</v>
      </c>
      <c r="J20" s="25">
        <v>2.3937523159243792</v>
      </c>
      <c r="K20" s="23">
        <v>5.7300501499933292</v>
      </c>
      <c r="L20" s="79">
        <f>10800292.69/1000</f>
        <v>10800.29269</v>
      </c>
      <c r="M20" s="25">
        <f t="shared" si="0"/>
        <v>2.5278243119231698</v>
      </c>
      <c r="N20" s="24">
        <f t="shared" si="2"/>
        <v>6.3898957519498465</v>
      </c>
    </row>
    <row r="21" spans="2:14" x14ac:dyDescent="0.25">
      <c r="B21" s="73" t="s">
        <v>24</v>
      </c>
      <c r="C21" s="76">
        <v>6707</v>
      </c>
      <c r="D21" s="25">
        <v>1.6874526685502802</v>
      </c>
      <c r="E21" s="23">
        <v>2.847496508597462</v>
      </c>
      <c r="F21" s="76">
        <v>6261.2820000000002</v>
      </c>
      <c r="G21" s="25">
        <v>1.5344306389701425</v>
      </c>
      <c r="H21" s="23">
        <v>2.3544773858103198</v>
      </c>
      <c r="I21" s="76">
        <v>7735.9340000000002</v>
      </c>
      <c r="J21" s="25">
        <v>1.8465857556559981</v>
      </c>
      <c r="K21" s="23">
        <v>3.4098789529916336</v>
      </c>
      <c r="L21" s="76">
        <f>9127272.01/1000</f>
        <v>9127.2720100000006</v>
      </c>
      <c r="M21" s="25">
        <f t="shared" si="0"/>
        <v>2.1362513730555071</v>
      </c>
      <c r="N21" s="24">
        <f>M21^2</f>
        <v>4.563569928881539</v>
      </c>
    </row>
    <row r="22" spans="2:14" x14ac:dyDescent="0.25">
      <c r="B22" s="73" t="s">
        <v>23</v>
      </c>
      <c r="C22" s="76">
        <v>8360</v>
      </c>
      <c r="D22" s="25">
        <v>2.103340436719896</v>
      </c>
      <c r="E22" s="23">
        <v>4.4240409927410429</v>
      </c>
      <c r="F22" s="76">
        <v>7432.49</v>
      </c>
      <c r="G22" s="25">
        <v>1.8214545167969105</v>
      </c>
      <c r="H22" s="23">
        <v>3.3176965567598669</v>
      </c>
      <c r="I22" s="76">
        <v>8010.0919999999996</v>
      </c>
      <c r="J22" s="25">
        <v>1.9120279191490082</v>
      </c>
      <c r="K22" s="23">
        <v>3.6558507636052862</v>
      </c>
      <c r="L22" s="79">
        <f>8912497.82/1000</f>
        <v>8912.4978200000005</v>
      </c>
      <c r="M22" s="25">
        <f t="shared" si="0"/>
        <v>2.0859831595321561</v>
      </c>
      <c r="N22" s="24">
        <f t="shared" si="2"/>
        <v>4.3513257418517561</v>
      </c>
    </row>
    <row r="23" spans="2:14" x14ac:dyDescent="0.25">
      <c r="B23" s="73" t="s">
        <v>21</v>
      </c>
      <c r="C23" s="76">
        <v>9599</v>
      </c>
      <c r="D23" s="25">
        <v>2.4150675660375933</v>
      </c>
      <c r="E23" s="23">
        <v>5.8325513485267448</v>
      </c>
      <c r="F23" s="76">
        <v>10181.880999999999</v>
      </c>
      <c r="G23" s="25">
        <v>2.4952382225793301</v>
      </c>
      <c r="H23" s="23">
        <v>6.2262137874208543</v>
      </c>
      <c r="I23" s="76">
        <v>7530.1909999999998</v>
      </c>
      <c r="J23" s="25">
        <v>1.7974744145915666</v>
      </c>
      <c r="K23" s="23">
        <v>3.230914271111295</v>
      </c>
      <c r="L23" s="76">
        <f>8118339.64/1000</f>
        <v>8118.3396399999992</v>
      </c>
      <c r="M23" s="25">
        <f t="shared" si="0"/>
        <v>1.9001092751349862</v>
      </c>
      <c r="N23" s="24">
        <f t="shared" si="1"/>
        <v>3.6104152574540027</v>
      </c>
    </row>
    <row r="24" spans="2:14" x14ac:dyDescent="0.25">
      <c r="B24" s="73" t="s">
        <v>25</v>
      </c>
      <c r="C24" s="76">
        <v>1803</v>
      </c>
      <c r="D24" s="25">
        <v>0.45362713007248473</v>
      </c>
      <c r="E24" s="23">
        <v>0.20577757313779899</v>
      </c>
      <c r="F24" s="76">
        <v>4668.8950000000004</v>
      </c>
      <c r="G24" s="25">
        <v>1.1441898860544062</v>
      </c>
      <c r="H24" s="23">
        <v>1.3091704953491949</v>
      </c>
      <c r="I24" s="76">
        <v>5238.3220000000001</v>
      </c>
      <c r="J24" s="25">
        <v>1.2503998597634673</v>
      </c>
      <c r="K24" s="23">
        <v>1.5634998092964989</v>
      </c>
      <c r="L24" s="76">
        <f>5944064.61/1000</f>
        <v>5944.0646100000004</v>
      </c>
      <c r="M24" s="25">
        <f t="shared" si="0"/>
        <v>1.3912170219898099</v>
      </c>
      <c r="N24" s="24">
        <f>M24^2</f>
        <v>1.9354848022741953</v>
      </c>
    </row>
    <row r="25" spans="2:14" x14ac:dyDescent="0.25">
      <c r="B25" s="73" t="s">
        <v>8</v>
      </c>
      <c r="C25" s="76">
        <v>2524</v>
      </c>
      <c r="D25" s="25">
        <v>0.63502766295227486</v>
      </c>
      <c r="E25" s="23">
        <v>0.40326013271462802</v>
      </c>
      <c r="F25" s="76">
        <v>3280.9630000000002</v>
      </c>
      <c r="G25" s="25">
        <v>0.80405421006870414</v>
      </c>
      <c r="H25" s="23">
        <v>0.64650317272920776</v>
      </c>
      <c r="I25" s="76">
        <v>4792.3667100000002</v>
      </c>
      <c r="J25" s="25">
        <v>1.1439492765276953</v>
      </c>
      <c r="K25" s="23">
        <v>1.3086199472682374</v>
      </c>
      <c r="L25" s="79">
        <f>5858043.49000002/1000</f>
        <v>5858.04349000002</v>
      </c>
      <c r="M25" s="25">
        <f t="shared" si="0"/>
        <v>1.3710836529491592</v>
      </c>
      <c r="N25" s="24">
        <f>M25^2</f>
        <v>1.8798703833844106</v>
      </c>
    </row>
    <row r="26" spans="2:14" x14ac:dyDescent="0.25">
      <c r="B26" s="73" t="s">
        <v>26</v>
      </c>
      <c r="C26" s="76">
        <v>2220</v>
      </c>
      <c r="D26" s="25">
        <v>0.5585425561624604</v>
      </c>
      <c r="E26" s="23">
        <v>0.31196978704449524</v>
      </c>
      <c r="F26" s="76">
        <v>2762.0590000000002</v>
      </c>
      <c r="G26" s="25">
        <v>0.67688820855588894</v>
      </c>
      <c r="H26" s="23">
        <v>0.45817764688200058</v>
      </c>
      <c r="I26" s="76">
        <v>3749.2460000000001</v>
      </c>
      <c r="J26" s="25">
        <v>0.89495389413227</v>
      </c>
      <c r="K26" s="23">
        <v>0.80094247262251439</v>
      </c>
      <c r="L26" s="76">
        <f>5013215.49/1000</f>
        <v>5013.2154900000005</v>
      </c>
      <c r="M26" s="25">
        <f t="shared" si="0"/>
        <v>1.1733504230181957</v>
      </c>
      <c r="N26" s="24">
        <f t="shared" si="1"/>
        <v>1.3767512151969787</v>
      </c>
    </row>
    <row r="27" spans="2:14" x14ac:dyDescent="0.25">
      <c r="B27" s="73" t="s">
        <v>6</v>
      </c>
      <c r="C27" s="78">
        <v>259</v>
      </c>
      <c r="D27" s="25">
        <v>6.5163298218953711E-2</v>
      </c>
      <c r="E27" s="23">
        <v>4.2462554347722963E-3</v>
      </c>
      <c r="F27" s="76">
        <v>287.99200000000002</v>
      </c>
      <c r="G27" s="25">
        <v>7.0577199458240231E-2</v>
      </c>
      <c r="H27" s="23">
        <v>4.9811410833682252E-3</v>
      </c>
      <c r="I27" s="76">
        <v>758.72805000000005</v>
      </c>
      <c r="J27" s="25">
        <v>0.1811101813364297</v>
      </c>
      <c r="K27" s="23">
        <v>3.280089778371445E-2</v>
      </c>
      <c r="L27" s="79">
        <f>845188.6655652/1000</f>
        <v>845.18866556520004</v>
      </c>
      <c r="M27" s="25">
        <f t="shared" si="0"/>
        <v>0.19781764423438172</v>
      </c>
      <c r="N27" s="24">
        <f>M27^2</f>
        <v>3.9131820370440419E-2</v>
      </c>
    </row>
    <row r="28" spans="2:14" x14ac:dyDescent="0.25">
      <c r="B28" s="73" t="s">
        <v>9</v>
      </c>
      <c r="C28" s="78">
        <v>15</v>
      </c>
      <c r="D28" s="25">
        <v>3.7739361902868946E-3</v>
      </c>
      <c r="E28" s="23">
        <v>1.424259436835716E-5</v>
      </c>
      <c r="F28" s="76">
        <v>13.885</v>
      </c>
      <c r="G28" s="25">
        <v>3.4027487377346092E-3</v>
      </c>
      <c r="H28" s="23">
        <v>1.1578698972154477E-5</v>
      </c>
      <c r="I28" s="76">
        <v>14.949</v>
      </c>
      <c r="J28" s="25">
        <v>3.5683616821577738E-3</v>
      </c>
      <c r="K28" s="23">
        <v>1.2733205094691857E-5</v>
      </c>
      <c r="L28" s="76">
        <f>13859.8/1000</f>
        <v>13.8598</v>
      </c>
      <c r="M28" s="25">
        <f t="shared" si="0"/>
        <v>3.2439064758709554E-3</v>
      </c>
      <c r="N28" s="24">
        <f>M28^2</f>
        <v>1.0522929224197522E-5</v>
      </c>
    </row>
    <row r="29" spans="2:14" x14ac:dyDescent="0.25">
      <c r="B29" s="73" t="s">
        <v>39</v>
      </c>
      <c r="C29" s="76">
        <v>7514</v>
      </c>
      <c r="D29" s="25">
        <v>1.890490435587715</v>
      </c>
      <c r="E29" s="23">
        <v>3.5739540870486284</v>
      </c>
      <c r="F29" s="76">
        <v>6366.183</v>
      </c>
      <c r="G29" s="25">
        <v>1.5601383627970853</v>
      </c>
      <c r="H29" s="23">
        <v>2.4340317110711696</v>
      </c>
      <c r="I29" s="76">
        <v>1316.48305</v>
      </c>
      <c r="J29" s="25">
        <v>0.31424761996322137</v>
      </c>
      <c r="K29" s="23">
        <v>9.8751566652549208E-2</v>
      </c>
      <c r="L29" s="67">
        <v>0</v>
      </c>
      <c r="M29" s="25">
        <f t="shared" si="0"/>
        <v>0</v>
      </c>
      <c r="N29" s="24">
        <f>M29^2</f>
        <v>0</v>
      </c>
    </row>
    <row r="30" spans="2:14" x14ac:dyDescent="0.25">
      <c r="B30" s="73" t="s">
        <v>14</v>
      </c>
      <c r="C30" s="76">
        <v>1284</v>
      </c>
      <c r="D30" s="25">
        <v>0.32304893788855815</v>
      </c>
      <c r="E30" s="23">
        <v>0.10436061627092551</v>
      </c>
      <c r="F30" s="76">
        <v>0</v>
      </c>
      <c r="G30" s="25">
        <v>0</v>
      </c>
      <c r="H30" s="23">
        <v>0</v>
      </c>
      <c r="I30" s="76">
        <v>0</v>
      </c>
      <c r="J30" s="25">
        <v>0</v>
      </c>
      <c r="K30" s="23">
        <v>0</v>
      </c>
      <c r="L30" s="67">
        <v>0</v>
      </c>
      <c r="M30" s="25">
        <f t="shared" si="0"/>
        <v>0</v>
      </c>
      <c r="N30" s="24">
        <f t="shared" si="1"/>
        <v>0</v>
      </c>
    </row>
    <row r="31" spans="2:14" x14ac:dyDescent="0.25">
      <c r="B31" s="73" t="s">
        <v>35</v>
      </c>
      <c r="C31" s="76">
        <v>0</v>
      </c>
      <c r="D31" s="25">
        <v>0</v>
      </c>
      <c r="E31" s="23">
        <v>0</v>
      </c>
      <c r="F31" s="76">
        <v>0</v>
      </c>
      <c r="G31" s="25">
        <v>0</v>
      </c>
      <c r="H31" s="23">
        <v>0</v>
      </c>
      <c r="I31" s="76">
        <v>0</v>
      </c>
      <c r="J31" s="25">
        <v>0</v>
      </c>
      <c r="K31" s="23">
        <v>0</v>
      </c>
      <c r="L31" s="67">
        <v>0</v>
      </c>
      <c r="M31" s="25">
        <f t="shared" si="0"/>
        <v>0</v>
      </c>
      <c r="N31" s="24">
        <f t="shared" si="1"/>
        <v>0</v>
      </c>
    </row>
    <row r="32" spans="2:14" ht="16.5" thickBot="1" x14ac:dyDescent="0.3">
      <c r="B32" s="20" t="s">
        <v>5</v>
      </c>
      <c r="C32" s="26">
        <v>397463</v>
      </c>
      <c r="D32" s="27">
        <v>99.999999999999986</v>
      </c>
      <c r="E32" s="27">
        <v>727.8758084597531</v>
      </c>
      <c r="F32" s="26">
        <v>408052.46200000012</v>
      </c>
      <c r="G32" s="27">
        <v>99.999999999999986</v>
      </c>
      <c r="H32" s="27">
        <v>718.20012282883738</v>
      </c>
      <c r="I32" s="26">
        <v>418931.7488399999</v>
      </c>
      <c r="J32" s="27">
        <v>100.00000000000001</v>
      </c>
      <c r="K32" s="27">
        <v>722.94424020402721</v>
      </c>
      <c r="L32" s="87">
        <f>SUM(L6:L31)</f>
        <v>427256.4607855652</v>
      </c>
      <c r="M32" s="27">
        <f>SUM(M6:M31)</f>
        <v>99.999999999999986</v>
      </c>
      <c r="N32" s="28">
        <f>SUM(N6:N31)</f>
        <v>711.54978056962295</v>
      </c>
    </row>
    <row r="34" spans="2:14" ht="16.5" thickBot="1" x14ac:dyDescent="0.3">
      <c r="B34" s="6"/>
      <c r="L34" s="50"/>
    </row>
    <row r="35" spans="2:14" x14ac:dyDescent="0.25">
      <c r="B35" s="100"/>
      <c r="C35" s="101"/>
      <c r="D35" s="54" t="s">
        <v>3</v>
      </c>
      <c r="E35" s="54" t="s">
        <v>4</v>
      </c>
      <c r="F35" s="54" t="s">
        <v>36</v>
      </c>
      <c r="G35" s="55" t="s">
        <v>38</v>
      </c>
      <c r="I35" s="3" t="s">
        <v>53</v>
      </c>
      <c r="L35" s="50"/>
    </row>
    <row r="36" spans="2:14" x14ac:dyDescent="0.25">
      <c r="B36" s="111" t="s">
        <v>31</v>
      </c>
      <c r="C36" s="112"/>
      <c r="D36" s="72">
        <v>0.42781843844584272</v>
      </c>
      <c r="E36" s="72">
        <v>0.42545381333834464</v>
      </c>
      <c r="F36" s="72">
        <v>0.41911138717981927</v>
      </c>
      <c r="G36" s="48">
        <f>(M6+M8+M7+M9)/100</f>
        <v>0.42737787120706572</v>
      </c>
      <c r="I36" s="44" t="s">
        <v>52</v>
      </c>
    </row>
    <row r="37" spans="2:14" ht="16.5" thickBot="1" x14ac:dyDescent="0.3">
      <c r="B37" s="102" t="s">
        <v>0</v>
      </c>
      <c r="C37" s="103"/>
      <c r="D37" s="68">
        <v>727.8758084597531</v>
      </c>
      <c r="E37" s="68">
        <v>718.20012282883738</v>
      </c>
      <c r="F37" s="68">
        <v>722.94424020402721</v>
      </c>
      <c r="G37" s="49">
        <f>N32</f>
        <v>711.54978056962295</v>
      </c>
      <c r="I37" s="44"/>
    </row>
    <row r="38" spans="2:14" x14ac:dyDescent="0.25">
      <c r="I38" s="3" t="s">
        <v>54</v>
      </c>
      <c r="L38" s="88"/>
    </row>
    <row r="39" spans="2:14" x14ac:dyDescent="0.25">
      <c r="I39" s="3" t="s">
        <v>44</v>
      </c>
      <c r="L39" s="7"/>
      <c r="M39" s="75"/>
      <c r="N39" s="75"/>
    </row>
    <row r="40" spans="2:14" x14ac:dyDescent="0.25">
      <c r="L40" s="58"/>
    </row>
    <row r="41" spans="2:14" x14ac:dyDescent="0.25">
      <c r="C41" s="7"/>
      <c r="F41" s="8"/>
    </row>
    <row r="42" spans="2:14" x14ac:dyDescent="0.25">
      <c r="C42" s="7"/>
      <c r="F42" s="8"/>
    </row>
    <row r="43" spans="2:14" x14ac:dyDescent="0.25">
      <c r="F43" s="8"/>
    </row>
    <row r="44" spans="2:14" x14ac:dyDescent="0.25">
      <c r="F44" s="8"/>
    </row>
    <row r="45" spans="2:14" x14ac:dyDescent="0.25">
      <c r="F45" s="8"/>
    </row>
    <row r="46" spans="2:14" x14ac:dyDescent="0.25">
      <c r="F46" s="8"/>
    </row>
    <row r="47" spans="2:14" x14ac:dyDescent="0.25">
      <c r="F47" s="9"/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2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29.42578125" style="5" customWidth="1"/>
    <col min="3" max="3" width="17.7109375" style="5" customWidth="1"/>
    <col min="4" max="4" width="9.7109375" style="5" customWidth="1"/>
    <col min="5" max="5" width="7.85546875" style="5" customWidth="1"/>
    <col min="6" max="6" width="17.7109375" style="5" customWidth="1"/>
    <col min="7" max="7" width="9.5703125" style="5" customWidth="1"/>
    <col min="8" max="8" width="7.85546875" style="5" customWidth="1"/>
    <col min="9" max="9" width="17.7109375" style="5" customWidth="1"/>
    <col min="10" max="10" width="9.140625" style="5" customWidth="1"/>
    <col min="11" max="11" width="7.7109375" style="5" customWidth="1"/>
    <col min="12" max="12" width="17.7109375" style="5" customWidth="1"/>
    <col min="13" max="13" width="8" style="5" bestFit="1" customWidth="1"/>
    <col min="14" max="14" width="8.42578125" style="5" customWidth="1"/>
    <col min="15" max="16384" width="10.42578125" style="5"/>
  </cols>
  <sheetData>
    <row r="2" spans="2:14" x14ac:dyDescent="0.25">
      <c r="B2" s="108" t="s">
        <v>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</row>
    <row r="3" spans="2:14" ht="16.5" thickBot="1" x14ac:dyDescent="0.3">
      <c r="B3" s="56"/>
    </row>
    <row r="4" spans="2:14" x14ac:dyDescent="0.25">
      <c r="B4" s="104" t="s">
        <v>50</v>
      </c>
      <c r="C4" s="98" t="s">
        <v>3</v>
      </c>
      <c r="D4" s="98"/>
      <c r="E4" s="98"/>
      <c r="F4" s="98" t="s">
        <v>4</v>
      </c>
      <c r="G4" s="98"/>
      <c r="H4" s="98"/>
      <c r="I4" s="98" t="s">
        <v>36</v>
      </c>
      <c r="J4" s="98"/>
      <c r="K4" s="98"/>
      <c r="L4" s="98" t="s">
        <v>43</v>
      </c>
      <c r="M4" s="98"/>
      <c r="N4" s="99"/>
    </row>
    <row r="5" spans="2:14" ht="39.75" customHeight="1" x14ac:dyDescent="0.25">
      <c r="B5" s="105"/>
      <c r="C5" s="13" t="s">
        <v>48</v>
      </c>
      <c r="D5" s="13" t="s">
        <v>2</v>
      </c>
      <c r="E5" s="14" t="s">
        <v>0</v>
      </c>
      <c r="F5" s="13" t="s">
        <v>48</v>
      </c>
      <c r="G5" s="13" t="s">
        <v>2</v>
      </c>
      <c r="H5" s="14" t="s">
        <v>0</v>
      </c>
      <c r="I5" s="13" t="s">
        <v>48</v>
      </c>
      <c r="J5" s="13" t="s">
        <v>2</v>
      </c>
      <c r="K5" s="14" t="s">
        <v>0</v>
      </c>
      <c r="L5" s="13" t="s">
        <v>48</v>
      </c>
      <c r="M5" s="13" t="s">
        <v>2</v>
      </c>
      <c r="N5" s="15" t="s">
        <v>0</v>
      </c>
    </row>
    <row r="6" spans="2:14" x14ac:dyDescent="0.25">
      <c r="B6" s="80" t="s">
        <v>37</v>
      </c>
      <c r="C6" s="83">
        <v>58653</v>
      </c>
      <c r="D6" s="29">
        <v>12.426246109714009</v>
      </c>
      <c r="E6" s="30">
        <v>154.41159237918257</v>
      </c>
      <c r="F6" s="83">
        <v>62436.368770000001</v>
      </c>
      <c r="G6" s="29">
        <v>12.791406348643214</v>
      </c>
      <c r="H6" s="30">
        <v>163.62007637610992</v>
      </c>
      <c r="I6" s="83">
        <v>64552.11924</v>
      </c>
      <c r="J6" s="29">
        <v>12.780251496116019</v>
      </c>
      <c r="K6" s="30">
        <v>163.33482830397574</v>
      </c>
      <c r="L6" s="83">
        <f>64750625.34/1000</f>
        <v>64750.625340000006</v>
      </c>
      <c r="M6" s="29">
        <f t="shared" ref="M6:M20" si="0">L6/L$32*100</f>
        <v>12.285910652045546</v>
      </c>
      <c r="N6" s="31">
        <f t="shared" ref="N6:N31" si="1">M6^2</f>
        <v>150.9436005500462</v>
      </c>
    </row>
    <row r="7" spans="2:14" x14ac:dyDescent="0.25">
      <c r="B7" s="80" t="s">
        <v>7</v>
      </c>
      <c r="C7" s="84">
        <v>35280</v>
      </c>
      <c r="D7" s="32">
        <v>7.4744337502039153</v>
      </c>
      <c r="E7" s="30">
        <v>55.867159886187366</v>
      </c>
      <c r="F7" s="83">
        <v>39953.652019999994</v>
      </c>
      <c r="G7" s="29">
        <v>8.1853478696485329</v>
      </c>
      <c r="H7" s="30">
        <v>66.99991974715978</v>
      </c>
      <c r="I7" s="83">
        <v>41706.938009999998</v>
      </c>
      <c r="J7" s="29">
        <v>8.2572836209911635</v>
      </c>
      <c r="K7" s="30">
        <v>68.182732797488939</v>
      </c>
      <c r="L7" s="83">
        <f>48172123.58/1000</f>
        <v>48172.123579999999</v>
      </c>
      <c r="M7" s="29">
        <f t="shared" si="0"/>
        <v>9.1402732115015652</v>
      </c>
      <c r="N7" s="31">
        <f>M7^2</f>
        <v>83.54459438089313</v>
      </c>
    </row>
    <row r="8" spans="2:14" x14ac:dyDescent="0.25">
      <c r="B8" s="80" t="s">
        <v>32</v>
      </c>
      <c r="C8" s="83">
        <v>46556</v>
      </c>
      <c r="D8" s="29">
        <v>9.8633712492770265</v>
      </c>
      <c r="E8" s="30">
        <v>97.28609240106465</v>
      </c>
      <c r="F8" s="83">
        <v>43549.804000000004</v>
      </c>
      <c r="G8" s="29">
        <v>8.9220954123685452</v>
      </c>
      <c r="H8" s="30">
        <v>79.603786547407836</v>
      </c>
      <c r="I8" s="83">
        <v>43971.056830000001</v>
      </c>
      <c r="J8" s="29">
        <v>8.7055416840472724</v>
      </c>
      <c r="K8" s="30">
        <v>75.786456012684624</v>
      </c>
      <c r="L8" s="83">
        <f>45626559.22/1000</f>
        <v>45626.559219999996</v>
      </c>
      <c r="M8" s="29">
        <f t="shared" si="0"/>
        <v>8.6572728370376684</v>
      </c>
      <c r="N8" s="31">
        <f t="shared" si="1"/>
        <v>74.948372974910242</v>
      </c>
    </row>
    <row r="9" spans="2:14" x14ac:dyDescent="0.25">
      <c r="B9" s="80" t="s">
        <v>15</v>
      </c>
      <c r="C9" s="84">
        <v>38874</v>
      </c>
      <c r="D9" s="29">
        <v>8.2358599094508786</v>
      </c>
      <c r="E9" s="30">
        <v>67.829388448100232</v>
      </c>
      <c r="F9" s="83">
        <v>40512.108</v>
      </c>
      <c r="G9" s="29">
        <v>8.2997593498280491</v>
      </c>
      <c r="H9" s="30">
        <v>68.886005265058117</v>
      </c>
      <c r="I9" s="83">
        <v>41999.219409999998</v>
      </c>
      <c r="J9" s="29">
        <v>8.3151505019489953</v>
      </c>
      <c r="K9" s="30">
        <v>69.141727870062624</v>
      </c>
      <c r="L9" s="83">
        <f>44700286/1000</f>
        <v>44700.286</v>
      </c>
      <c r="M9" s="29">
        <f t="shared" si="0"/>
        <v>8.4815199395089333</v>
      </c>
      <c r="N9" s="31">
        <f t="shared" si="1"/>
        <v>71.936180484287618</v>
      </c>
    </row>
    <row r="10" spans="2:14" x14ac:dyDescent="0.25">
      <c r="B10" s="80" t="s">
        <v>10</v>
      </c>
      <c r="C10" s="84">
        <v>37826</v>
      </c>
      <c r="D10" s="29">
        <v>8.013830244762282</v>
      </c>
      <c r="E10" s="30">
        <v>64.221475191866702</v>
      </c>
      <c r="F10" s="83">
        <v>38061.542079999999</v>
      </c>
      <c r="G10" s="32">
        <v>7.7977092613238934</v>
      </c>
      <c r="H10" s="30">
        <v>60.804269724136418</v>
      </c>
      <c r="I10" s="83">
        <v>36401.977290000003</v>
      </c>
      <c r="J10" s="32">
        <v>7.2069891771085999</v>
      </c>
      <c r="K10" s="30">
        <v>51.940692998960493</v>
      </c>
      <c r="L10" s="83">
        <f>40407807.75/1000</f>
        <v>40407.80775</v>
      </c>
      <c r="M10" s="32">
        <f t="shared" si="0"/>
        <v>7.6670566972092429</v>
      </c>
      <c r="N10" s="31">
        <f t="shared" si="1"/>
        <v>58.783758398221103</v>
      </c>
    </row>
    <row r="11" spans="2:14" x14ac:dyDescent="0.25">
      <c r="B11" s="80" t="s">
        <v>11</v>
      </c>
      <c r="C11" s="83">
        <v>31809</v>
      </c>
      <c r="D11" s="32">
        <v>6.7390664161064722</v>
      </c>
      <c r="E11" s="30">
        <v>45.41501616069413</v>
      </c>
      <c r="F11" s="83">
        <v>30644.897639999999</v>
      </c>
      <c r="G11" s="32">
        <v>6.2782532992880435</v>
      </c>
      <c r="H11" s="30">
        <v>39.416464490021205</v>
      </c>
      <c r="I11" s="83">
        <v>32616.429660000002</v>
      </c>
      <c r="J11" s="32">
        <v>6.4575133840358472</v>
      </c>
      <c r="K11" s="30">
        <v>41.699479105002098</v>
      </c>
      <c r="L11" s="83">
        <f>31896686.051/1000</f>
        <v>31896.686051000001</v>
      </c>
      <c r="M11" s="32">
        <f t="shared" si="0"/>
        <v>6.0521397725690829</v>
      </c>
      <c r="N11" s="31">
        <f t="shared" si="1"/>
        <v>36.628395826712548</v>
      </c>
    </row>
    <row r="12" spans="2:14" x14ac:dyDescent="0.25">
      <c r="B12" s="80" t="s">
        <v>6</v>
      </c>
      <c r="C12" s="83">
        <v>19467</v>
      </c>
      <c r="D12" s="32">
        <v>4.1242857657375174</v>
      </c>
      <c r="E12" s="30">
        <v>17.0097330774651</v>
      </c>
      <c r="F12" s="83">
        <v>21129.819390000001</v>
      </c>
      <c r="G12" s="32">
        <v>4.3288889346940556</v>
      </c>
      <c r="H12" s="30">
        <v>18.739279408916634</v>
      </c>
      <c r="I12" s="83">
        <v>22616.649379999999</v>
      </c>
      <c r="J12" s="32">
        <v>4.4777223502333516</v>
      </c>
      <c r="K12" s="30">
        <v>20.04999744577929</v>
      </c>
      <c r="L12" s="83">
        <f>26260515.9701219/1000</f>
        <v>26260.515970121902</v>
      </c>
      <c r="M12" s="32">
        <f t="shared" si="0"/>
        <v>4.9827218067996633</v>
      </c>
      <c r="N12" s="31">
        <f>M12^2</f>
        <v>24.827516603956902</v>
      </c>
    </row>
    <row r="13" spans="2:14" x14ac:dyDescent="0.25">
      <c r="B13" s="80" t="s">
        <v>8</v>
      </c>
      <c r="C13" s="83">
        <v>19394</v>
      </c>
      <c r="D13" s="32">
        <v>4.1088199589414609</v>
      </c>
      <c r="E13" s="30">
        <v>16.882401454995708</v>
      </c>
      <c r="F13" s="83">
        <v>20020.95319</v>
      </c>
      <c r="G13" s="32">
        <v>4.1017143178817603</v>
      </c>
      <c r="H13" s="30">
        <v>16.824060345516234</v>
      </c>
      <c r="I13" s="83">
        <v>22859.405400000003</v>
      </c>
      <c r="J13" s="32">
        <v>4.5257840254242385</v>
      </c>
      <c r="K13" s="30">
        <v>20.482721044785226</v>
      </c>
      <c r="L13" s="83">
        <f>25607997.74/1000</f>
        <v>25607.997739999999</v>
      </c>
      <c r="M13" s="32">
        <f t="shared" si="0"/>
        <v>4.8589117179856451</v>
      </c>
      <c r="N13" s="31">
        <f>M13^2</f>
        <v>23.609023083178215</v>
      </c>
    </row>
    <row r="14" spans="2:14" x14ac:dyDescent="0.25">
      <c r="B14" s="80" t="s">
        <v>12</v>
      </c>
      <c r="C14" s="83">
        <v>24461</v>
      </c>
      <c r="D14" s="32">
        <v>5.182316438881462</v>
      </c>
      <c r="E14" s="30">
        <v>26.856403672701038</v>
      </c>
      <c r="F14" s="83">
        <v>24448.52</v>
      </c>
      <c r="G14" s="32">
        <v>5.0087947153838073</v>
      </c>
      <c r="H14" s="30">
        <v>25.088024500856754</v>
      </c>
      <c r="I14" s="83">
        <v>30763.947</v>
      </c>
      <c r="J14" s="32">
        <v>6.0907524695107735</v>
      </c>
      <c r="K14" s="30">
        <v>37.097265644851589</v>
      </c>
      <c r="L14" s="83">
        <f>23253190.01/1000</f>
        <v>23253.190010000002</v>
      </c>
      <c r="M14" s="32">
        <f t="shared" si="0"/>
        <v>4.4121058806425744</v>
      </c>
      <c r="N14" s="31">
        <f>M14^2</f>
        <v>19.466678302000787</v>
      </c>
    </row>
    <row r="15" spans="2:14" x14ac:dyDescent="0.25">
      <c r="B15" s="80" t="s">
        <v>16</v>
      </c>
      <c r="C15" s="83">
        <v>26176</v>
      </c>
      <c r="D15" s="32">
        <v>5.5456569684052628</v>
      </c>
      <c r="E15" s="30">
        <v>30.75431121122185</v>
      </c>
      <c r="F15" s="83">
        <v>24582.68</v>
      </c>
      <c r="G15" s="32">
        <v>5.0362802195785772</v>
      </c>
      <c r="H15" s="30">
        <v>25.364118450118443</v>
      </c>
      <c r="I15" s="83">
        <v>24483.962</v>
      </c>
      <c r="J15" s="32">
        <v>4.8474193514540875</v>
      </c>
      <c r="K15" s="30">
        <v>23.497474368851567</v>
      </c>
      <c r="L15" s="83">
        <f>23086074.8/1000</f>
        <v>23086.074800000002</v>
      </c>
      <c r="M15" s="32">
        <f t="shared" si="0"/>
        <v>4.3803971129221564</v>
      </c>
      <c r="N15" s="31">
        <f t="shared" si="1"/>
        <v>19.187878866896764</v>
      </c>
    </row>
    <row r="16" spans="2:14" x14ac:dyDescent="0.25">
      <c r="B16" s="81" t="s">
        <v>13</v>
      </c>
      <c r="C16" s="84">
        <v>16039</v>
      </c>
      <c r="D16" s="32">
        <v>3.3980284274240531</v>
      </c>
      <c r="E16" s="30">
        <v>11.546597193581983</v>
      </c>
      <c r="F16" s="83">
        <v>17253.226999999999</v>
      </c>
      <c r="G16" s="32">
        <v>3.5346872620885526</v>
      </c>
      <c r="H16" s="30">
        <v>12.494014040771068</v>
      </c>
      <c r="I16" s="83">
        <v>18088.951999999997</v>
      </c>
      <c r="J16" s="32">
        <v>3.5813131866617063</v>
      </c>
      <c r="K16" s="30">
        <v>12.825804140957025</v>
      </c>
      <c r="L16" s="83">
        <f>17875727.58/1000</f>
        <v>17875.727579999999</v>
      </c>
      <c r="M16" s="32">
        <f t="shared" si="0"/>
        <v>3.391775611972589</v>
      </c>
      <c r="N16" s="31">
        <f t="shared" si="1"/>
        <v>11.504141801972031</v>
      </c>
    </row>
    <row r="17" spans="2:14" x14ac:dyDescent="0.25">
      <c r="B17" s="80" t="s">
        <v>18</v>
      </c>
      <c r="C17" s="83">
        <v>13623</v>
      </c>
      <c r="D17" s="32">
        <v>2.8861737805846923</v>
      </c>
      <c r="E17" s="30">
        <v>8.3299990917345355</v>
      </c>
      <c r="F17" s="83">
        <v>14066.545</v>
      </c>
      <c r="G17" s="32">
        <v>2.8818282767099408</v>
      </c>
      <c r="H17" s="30">
        <v>8.3049342164449875</v>
      </c>
      <c r="I17" s="83">
        <v>14922.084000000001</v>
      </c>
      <c r="J17" s="32">
        <v>2.9543257233295583</v>
      </c>
      <c r="K17" s="30">
        <v>8.7280404795267188</v>
      </c>
      <c r="L17" s="83">
        <f>16908248.28/1000</f>
        <v>16908.24828</v>
      </c>
      <c r="M17" s="32">
        <f t="shared" si="0"/>
        <v>3.2082041920042217</v>
      </c>
      <c r="N17" s="31">
        <f>M17^2</f>
        <v>10.29257413759346</v>
      </c>
    </row>
    <row r="18" spans="2:14" x14ac:dyDescent="0.25">
      <c r="B18" s="80" t="s">
        <v>19</v>
      </c>
      <c r="C18" s="83">
        <v>8282</v>
      </c>
      <c r="D18" s="32">
        <v>1.7546275600677106</v>
      </c>
      <c r="E18" s="30">
        <v>3.0787178745491675</v>
      </c>
      <c r="F18" s="83">
        <v>12056.864</v>
      </c>
      <c r="G18" s="32">
        <v>2.4701027582569939</v>
      </c>
      <c r="H18" s="30">
        <v>6.1014076363488092</v>
      </c>
      <c r="I18" s="83">
        <v>14700.50144</v>
      </c>
      <c r="J18" s="32">
        <v>2.9104560428714388</v>
      </c>
      <c r="K18" s="30">
        <v>8.470754377486875</v>
      </c>
      <c r="L18" s="83">
        <f>16610467.46/1000</f>
        <v>16610.46746</v>
      </c>
      <c r="M18" s="32">
        <f t="shared" si="0"/>
        <v>3.151702675158595</v>
      </c>
      <c r="N18" s="31">
        <f>M18^2</f>
        <v>9.9332297526018447</v>
      </c>
    </row>
    <row r="19" spans="2:14" x14ac:dyDescent="0.25">
      <c r="B19" s="80" t="s">
        <v>17</v>
      </c>
      <c r="C19" s="83">
        <v>15834</v>
      </c>
      <c r="D19" s="32">
        <v>3.3545970521748529</v>
      </c>
      <c r="E19" s="30">
        <v>11.253321382460213</v>
      </c>
      <c r="F19" s="83">
        <v>16385.739000000001</v>
      </c>
      <c r="G19" s="32">
        <v>3.3569640579821751</v>
      </c>
      <c r="H19" s="30">
        <v>11.269207686584153</v>
      </c>
      <c r="I19" s="83">
        <v>14884.678</v>
      </c>
      <c r="J19" s="32">
        <v>2.9469199542689588</v>
      </c>
      <c r="K19" s="30">
        <v>8.6843372168685615</v>
      </c>
      <c r="L19" s="83">
        <f>15192779.12/1000</f>
        <v>15192.779119999999</v>
      </c>
      <c r="M19" s="32">
        <f t="shared" si="0"/>
        <v>2.8827077089134279</v>
      </c>
      <c r="N19" s="31">
        <f t="shared" si="1"/>
        <v>8.3100037350289035</v>
      </c>
    </row>
    <row r="20" spans="2:14" x14ac:dyDescent="0.25">
      <c r="B20" s="80" t="s">
        <v>27</v>
      </c>
      <c r="C20" s="84">
        <v>12038</v>
      </c>
      <c r="D20" s="32">
        <v>2.5503750987798961</v>
      </c>
      <c r="E20" s="30">
        <v>6.5044131444765645</v>
      </c>
      <c r="F20" s="83">
        <v>14357.563</v>
      </c>
      <c r="G20" s="32">
        <v>2.9414494488905705</v>
      </c>
      <c r="H20" s="30">
        <v>8.65212486037864</v>
      </c>
      <c r="I20" s="83">
        <v>14213.268</v>
      </c>
      <c r="J20" s="32">
        <v>2.8139918837728608</v>
      </c>
      <c r="K20" s="30">
        <v>7.9185503219395335</v>
      </c>
      <c r="L20" s="83">
        <f>14049276.66/1000</f>
        <v>14049.27666</v>
      </c>
      <c r="M20" s="32">
        <f t="shared" si="0"/>
        <v>2.6657373093198435</v>
      </c>
      <c r="N20" s="31">
        <f>M20^2</f>
        <v>7.106155402299799</v>
      </c>
    </row>
    <row r="21" spans="2:14" x14ac:dyDescent="0.25">
      <c r="B21" s="80" t="s">
        <v>20</v>
      </c>
      <c r="C21" s="83">
        <v>11718</v>
      </c>
      <c r="D21" s="32">
        <v>2.4825797813177291</v>
      </c>
      <c r="E21" s="30">
        <v>6.1632023706075838</v>
      </c>
      <c r="F21" s="83">
        <v>11508.564</v>
      </c>
      <c r="G21" s="32">
        <v>2.3577719446762559</v>
      </c>
      <c r="H21" s="30">
        <v>5.5590885431024537</v>
      </c>
      <c r="I21" s="83">
        <v>12285.731</v>
      </c>
      <c r="J21" s="32">
        <v>2.4323714518164739</v>
      </c>
      <c r="K21" s="30">
        <v>5.9164308796117808</v>
      </c>
      <c r="L21" s="83">
        <f>13259365.98/1000</f>
        <v>13259.36598</v>
      </c>
      <c r="M21" s="32">
        <f t="shared" ref="M21:M31" si="2">L21/L$32*100</f>
        <v>2.515858107588314</v>
      </c>
      <c r="N21" s="31">
        <f t="shared" si="1"/>
        <v>6.3295420175178521</v>
      </c>
    </row>
    <row r="22" spans="2:14" x14ac:dyDescent="0.25">
      <c r="B22" s="80" t="s">
        <v>9</v>
      </c>
      <c r="C22" s="83">
        <v>8566</v>
      </c>
      <c r="D22" s="32">
        <v>1.8147959043153841</v>
      </c>
      <c r="E22" s="30">
        <v>3.2934841743198926</v>
      </c>
      <c r="F22" s="83">
        <v>9443.2129999999997</v>
      </c>
      <c r="G22" s="32">
        <v>1.9346412531573967</v>
      </c>
      <c r="H22" s="30">
        <v>3.7428367784184222</v>
      </c>
      <c r="I22" s="83">
        <v>10269.93</v>
      </c>
      <c r="J22" s="32">
        <v>2.033276208322774</v>
      </c>
      <c r="K22" s="30">
        <v>4.1342121393314368</v>
      </c>
      <c r="L22" s="83">
        <f>11458136.19/1000</f>
        <v>11458.136189999999</v>
      </c>
      <c r="M22" s="32">
        <f t="shared" si="2"/>
        <v>2.1740892343528611</v>
      </c>
      <c r="N22" s="31">
        <f>M22^2</f>
        <v>4.72666399892901</v>
      </c>
    </row>
    <row r="23" spans="2:14" x14ac:dyDescent="0.25">
      <c r="B23" s="80" t="s">
        <v>22</v>
      </c>
      <c r="C23" s="83">
        <v>9474</v>
      </c>
      <c r="D23" s="32">
        <v>2.0071651176142828</v>
      </c>
      <c r="E23" s="30">
        <v>4.0287118093675582</v>
      </c>
      <c r="F23" s="83">
        <v>9813.9709999999995</v>
      </c>
      <c r="G23" s="32">
        <v>2.0105988453178325</v>
      </c>
      <c r="H23" s="30">
        <v>4.0425077167934012</v>
      </c>
      <c r="I23" s="83">
        <v>10028.18844</v>
      </c>
      <c r="J23" s="32">
        <v>1.9854153794260987</v>
      </c>
      <c r="K23" s="30">
        <v>3.9418742288616793</v>
      </c>
      <c r="L23" s="83">
        <f>10800292.69/1000</f>
        <v>10800.29269</v>
      </c>
      <c r="M23" s="32">
        <f t="shared" si="2"/>
        <v>2.0492687183873404</v>
      </c>
      <c r="N23" s="31">
        <f>M23^2</f>
        <v>4.1995022801608926</v>
      </c>
    </row>
    <row r="24" spans="2:14" x14ac:dyDescent="0.25">
      <c r="B24" s="80" t="s">
        <v>24</v>
      </c>
      <c r="C24" s="83">
        <v>6707</v>
      </c>
      <c r="D24" s="32">
        <v>1.4209474819336072</v>
      </c>
      <c r="E24" s="30">
        <v>2.019091746413459</v>
      </c>
      <c r="F24" s="83">
        <v>6261.2820000000002</v>
      </c>
      <c r="G24" s="32">
        <v>1.2827556102834754</v>
      </c>
      <c r="H24" s="30">
        <v>1.6454619557137313</v>
      </c>
      <c r="I24" s="83">
        <v>7735.9340000000002</v>
      </c>
      <c r="J24" s="32">
        <v>1.5315869291567936</v>
      </c>
      <c r="K24" s="30">
        <v>2.3457585215639369</v>
      </c>
      <c r="L24" s="83">
        <f>9127272.01/1000</f>
        <v>9127.2720100000006</v>
      </c>
      <c r="M24" s="32">
        <f t="shared" si="2"/>
        <v>1.7318264931489875</v>
      </c>
      <c r="N24" s="31">
        <f>M24^2</f>
        <v>2.99922300237272</v>
      </c>
    </row>
    <row r="25" spans="2:14" x14ac:dyDescent="0.25">
      <c r="B25" s="80" t="s">
        <v>23</v>
      </c>
      <c r="C25" s="83">
        <v>8360</v>
      </c>
      <c r="D25" s="32">
        <v>1.7711526686991139</v>
      </c>
      <c r="E25" s="30">
        <v>3.1369817758399932</v>
      </c>
      <c r="F25" s="83">
        <v>7432.49</v>
      </c>
      <c r="G25" s="32">
        <v>1.5227022590382973</v>
      </c>
      <c r="H25" s="30">
        <v>2.3186221696803337</v>
      </c>
      <c r="I25" s="83">
        <v>8010.0919999999996</v>
      </c>
      <c r="J25" s="32">
        <v>1.585865676793959</v>
      </c>
      <c r="K25" s="30">
        <v>2.5149699448331613</v>
      </c>
      <c r="L25" s="83">
        <f>8912497.82/1000</f>
        <v>8912.4978200000005</v>
      </c>
      <c r="M25" s="32">
        <f t="shared" si="2"/>
        <v>1.6910748170864032</v>
      </c>
      <c r="N25" s="31">
        <f>M25^2</f>
        <v>2.859734036983812</v>
      </c>
    </row>
    <row r="26" spans="2:14" x14ac:dyDescent="0.25">
      <c r="B26" s="82" t="s">
        <v>21</v>
      </c>
      <c r="C26" s="83">
        <v>9599</v>
      </c>
      <c r="D26" s="32">
        <v>2.0336476634979417</v>
      </c>
      <c r="E26" s="30">
        <v>4.1357228192506374</v>
      </c>
      <c r="F26" s="83">
        <v>10181.880999999999</v>
      </c>
      <c r="G26" s="32">
        <v>2.0859729646402645</v>
      </c>
      <c r="H26" s="30">
        <v>4.3512832092100941</v>
      </c>
      <c r="I26" s="83">
        <v>7530.1909999999998</v>
      </c>
      <c r="J26" s="32">
        <v>1.4908532194889621</v>
      </c>
      <c r="K26" s="30">
        <v>2.2226433220606032</v>
      </c>
      <c r="L26" s="83">
        <f>8118339.64/1000</f>
        <v>8118.3396399999992</v>
      </c>
      <c r="M26" s="32">
        <f t="shared" si="2"/>
        <v>1.5403896863739477</v>
      </c>
      <c r="N26" s="31">
        <f t="shared" si="1"/>
        <v>2.3728003858872291</v>
      </c>
    </row>
    <row r="27" spans="2:14" x14ac:dyDescent="0.25">
      <c r="B27" s="80" t="s">
        <v>25</v>
      </c>
      <c r="C27" s="83">
        <v>1803</v>
      </c>
      <c r="D27" s="32">
        <v>0.38198424182589741</v>
      </c>
      <c r="E27" s="30">
        <v>0.14591196100330567</v>
      </c>
      <c r="F27" s="83">
        <v>4668.8950000000004</v>
      </c>
      <c r="G27" s="32">
        <v>0.95652156460521476</v>
      </c>
      <c r="H27" s="30">
        <v>0.91493350355480807</v>
      </c>
      <c r="I27" s="83">
        <v>5238.3220000000001</v>
      </c>
      <c r="J27" s="32">
        <v>1.0371010799619635</v>
      </c>
      <c r="K27" s="30">
        <v>1.0755786500582711</v>
      </c>
      <c r="L27" s="83">
        <f>5944064.61/1000</f>
        <v>5944.0646100000004</v>
      </c>
      <c r="M27" s="32">
        <f t="shared" si="2"/>
        <v>1.127838477620577</v>
      </c>
      <c r="N27" s="31">
        <f>M27^2</f>
        <v>1.2720196316015007</v>
      </c>
    </row>
    <row r="28" spans="2:14" x14ac:dyDescent="0.25">
      <c r="B28" s="80" t="s">
        <v>26</v>
      </c>
      <c r="C28" s="83">
        <v>2220</v>
      </c>
      <c r="D28" s="32">
        <v>0.47033001489378384</v>
      </c>
      <c r="E28" s="30">
        <v>0.22121032290998693</v>
      </c>
      <c r="F28" s="83">
        <v>2762.0590000000002</v>
      </c>
      <c r="G28" s="32">
        <v>0.56586601245303547</v>
      </c>
      <c r="H28" s="30">
        <v>0.32020434404949888</v>
      </c>
      <c r="I28" s="83">
        <v>3749.2460000000001</v>
      </c>
      <c r="J28" s="32">
        <v>0.74228867099866569</v>
      </c>
      <c r="K28" s="30">
        <v>0.55099247109296534</v>
      </c>
      <c r="L28" s="83">
        <f>5013215.49/1000</f>
        <v>5013.2154900000005</v>
      </c>
      <c r="M28" s="32">
        <f t="shared" si="2"/>
        <v>0.95121733985080203</v>
      </c>
      <c r="N28" s="31">
        <f>M28^2</f>
        <v>0.90481442763283626</v>
      </c>
    </row>
    <row r="29" spans="2:14" x14ac:dyDescent="0.25">
      <c r="B29" s="80" t="s">
        <v>39</v>
      </c>
      <c r="C29" s="83">
        <v>7514</v>
      </c>
      <c r="D29" s="32">
        <v>1.5919187981585097</v>
      </c>
      <c r="E29" s="30">
        <v>2.5342054599304338</v>
      </c>
      <c r="F29" s="83">
        <v>6366.183</v>
      </c>
      <c r="G29" s="32">
        <v>1.3042467915262861</v>
      </c>
      <c r="H29" s="30">
        <v>1.7010596932066115</v>
      </c>
      <c r="I29" s="83">
        <v>1316.48305</v>
      </c>
      <c r="J29" s="32">
        <v>0.26064186067725886</v>
      </c>
      <c r="K29" s="30">
        <v>6.7934179537303616E-2</v>
      </c>
      <c r="L29" s="83">
        <v>0</v>
      </c>
      <c r="M29" s="32">
        <f t="shared" si="2"/>
        <v>0</v>
      </c>
      <c r="N29" s="31">
        <f t="shared" si="1"/>
        <v>0</v>
      </c>
    </row>
    <row r="30" spans="2:14" x14ac:dyDescent="0.25">
      <c r="B30" s="80" t="s">
        <v>35</v>
      </c>
      <c r="C30" s="85">
        <v>312</v>
      </c>
      <c r="D30" s="32">
        <v>6.6100434525612858E-2</v>
      </c>
      <c r="E30" s="30">
        <v>4.3692674444748324E-3</v>
      </c>
      <c r="F30" s="83">
        <v>213.01796999999999</v>
      </c>
      <c r="G30" s="32">
        <v>4.3641221735212864E-2</v>
      </c>
      <c r="H30" s="30">
        <v>1.9045562345420158E-3</v>
      </c>
      <c r="I30" s="83">
        <v>147.40965</v>
      </c>
      <c r="J30" s="32">
        <v>2.9184671582200384E-2</v>
      </c>
      <c r="K30" s="30">
        <v>8.5174505536089469E-4</v>
      </c>
      <c r="L30" s="83">
        <v>0</v>
      </c>
      <c r="M30" s="32">
        <f t="shared" si="2"/>
        <v>0</v>
      </c>
      <c r="N30" s="31">
        <f>M30^2</f>
        <v>0</v>
      </c>
    </row>
    <row r="31" spans="2:14" x14ac:dyDescent="0.25">
      <c r="B31" s="80" t="s">
        <v>14</v>
      </c>
      <c r="C31" s="83">
        <v>1424</v>
      </c>
      <c r="D31" s="32">
        <v>0.30168916270664331</v>
      </c>
      <c r="E31" s="30">
        <v>9.10163508946355E-2</v>
      </c>
      <c r="F31" s="83">
        <v>0</v>
      </c>
      <c r="G31" s="32">
        <v>0</v>
      </c>
      <c r="H31" s="30">
        <v>0</v>
      </c>
      <c r="I31" s="83">
        <v>0</v>
      </c>
      <c r="J31" s="32">
        <v>0</v>
      </c>
      <c r="K31" s="30">
        <v>0</v>
      </c>
      <c r="L31" s="83">
        <v>0</v>
      </c>
      <c r="M31" s="32">
        <f t="shared" si="2"/>
        <v>0</v>
      </c>
      <c r="N31" s="31">
        <f t="shared" si="1"/>
        <v>0</v>
      </c>
    </row>
    <row r="32" spans="2:14" ht="16.5" thickBot="1" x14ac:dyDescent="0.3">
      <c r="B32" s="12" t="s">
        <v>5</v>
      </c>
      <c r="C32" s="33">
        <v>472009</v>
      </c>
      <c r="D32" s="34">
        <v>100.00000000000003</v>
      </c>
      <c r="E32" s="34">
        <v>643.02053062826383</v>
      </c>
      <c r="F32" s="33">
        <v>488111.83906000009</v>
      </c>
      <c r="G32" s="34">
        <v>99.999999999999957</v>
      </c>
      <c r="H32" s="34">
        <v>636.76559576579291</v>
      </c>
      <c r="I32" s="33">
        <v>505092.7147999999</v>
      </c>
      <c r="J32" s="35">
        <v>100.00000000000001</v>
      </c>
      <c r="K32" s="34">
        <v>640.61210821122734</v>
      </c>
      <c r="L32" s="89">
        <f t="shared" ref="L32:N32" si="3">SUM(L6:L31)</f>
        <v>527031.54999112198</v>
      </c>
      <c r="M32" s="34">
        <f t="shared" si="3"/>
        <v>99.999999999999957</v>
      </c>
      <c r="N32" s="36">
        <f t="shared" si="3"/>
        <v>636.6864040816854</v>
      </c>
    </row>
    <row r="34" spans="2:12" ht="16.5" thickBot="1" x14ac:dyDescent="0.3">
      <c r="B34" s="6"/>
      <c r="L34" s="53"/>
    </row>
    <row r="35" spans="2:12" x14ac:dyDescent="0.25">
      <c r="B35" s="100"/>
      <c r="C35" s="101"/>
      <c r="D35" s="46" t="s">
        <v>3</v>
      </c>
      <c r="E35" s="46" t="s">
        <v>4</v>
      </c>
      <c r="F35" s="46" t="s">
        <v>36</v>
      </c>
      <c r="G35" s="47" t="s">
        <v>38</v>
      </c>
      <c r="I35" s="3" t="s">
        <v>55</v>
      </c>
      <c r="L35" s="52"/>
    </row>
    <row r="36" spans="2:12" x14ac:dyDescent="0.25">
      <c r="B36" s="111" t="s">
        <v>31</v>
      </c>
      <c r="C36" s="112"/>
      <c r="D36" s="72">
        <v>0.38539307513204202</v>
      </c>
      <c r="E36" s="72">
        <v>0.38198608980488336</v>
      </c>
      <c r="F36" s="72">
        <v>0.38058227303103448</v>
      </c>
      <c r="G36" s="48">
        <f>(M6+M8+M9+M7)/100</f>
        <v>0.38564976640093712</v>
      </c>
      <c r="I36" s="44" t="s">
        <v>52</v>
      </c>
    </row>
    <row r="37" spans="2:12" ht="16.5" thickBot="1" x14ac:dyDescent="0.3">
      <c r="B37" s="102" t="s">
        <v>0</v>
      </c>
      <c r="C37" s="103"/>
      <c r="D37" s="68">
        <v>643.02053062826383</v>
      </c>
      <c r="E37" s="68">
        <v>636.76559576579291</v>
      </c>
      <c r="F37" s="68">
        <v>640.61210821122734</v>
      </c>
      <c r="G37" s="49">
        <f>N32</f>
        <v>636.6864040816854</v>
      </c>
      <c r="I37" s="44"/>
    </row>
    <row r="38" spans="2:12" x14ac:dyDescent="0.25">
      <c r="I38" s="3" t="s">
        <v>54</v>
      </c>
      <c r="L38" s="88"/>
    </row>
    <row r="39" spans="2:12" x14ac:dyDescent="0.25">
      <c r="I39" s="3" t="s">
        <v>44</v>
      </c>
      <c r="L39" s="86"/>
    </row>
    <row r="40" spans="2:12" x14ac:dyDescent="0.25">
      <c r="I40" s="51"/>
    </row>
    <row r="42" spans="2:12" x14ac:dyDescent="0.25">
      <c r="L42" s="58"/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2018-03-22T09:53:49Z</cp:lastPrinted>
  <dcterms:created xsi:type="dcterms:W3CDTF">2011-07-19T10:02:04Z</dcterms:created>
  <dcterms:modified xsi:type="dcterms:W3CDTF">2020-02-06T15:22:41Z</dcterms:modified>
</cp:coreProperties>
</file>