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G18" i="5" l="1"/>
  <c r="D32" i="7" l="1"/>
  <c r="D28" i="7"/>
  <c r="E28" i="7" s="1"/>
  <c r="L28" i="6"/>
  <c r="L27" i="6"/>
  <c r="L25" i="6"/>
  <c r="L21" i="6"/>
  <c r="L20" i="6"/>
  <c r="L17" i="6"/>
  <c r="L13" i="6"/>
  <c r="L12" i="6"/>
  <c r="L11" i="6"/>
  <c r="L9" i="6"/>
  <c r="L8" i="6"/>
  <c r="L7" i="6"/>
  <c r="L6" i="6"/>
  <c r="L16" i="5"/>
  <c r="L13" i="5"/>
  <c r="L12" i="5"/>
  <c r="L11" i="5"/>
  <c r="L10" i="5"/>
  <c r="L8" i="5"/>
  <c r="L7" i="5"/>
  <c r="L6" i="5"/>
  <c r="L30" i="6"/>
  <c r="L26" i="6"/>
  <c r="L24" i="6"/>
  <c r="L23" i="6"/>
  <c r="L22" i="6"/>
  <c r="L19" i="6"/>
  <c r="L18" i="6"/>
  <c r="L16" i="6"/>
  <c r="L15" i="6"/>
  <c r="L14" i="6"/>
  <c r="L10" i="6"/>
  <c r="L15" i="5"/>
  <c r="L14" i="5"/>
  <c r="L9" i="5"/>
  <c r="I30" i="6" l="1"/>
  <c r="I28" i="6"/>
  <c r="I26" i="6"/>
  <c r="I28" i="7" s="1"/>
  <c r="I25" i="6"/>
  <c r="I24" i="6"/>
  <c r="I27" i="7" s="1"/>
  <c r="I22" i="6"/>
  <c r="I25" i="7" s="1"/>
  <c r="I27" i="6"/>
  <c r="I29" i="7" s="1"/>
  <c r="I21" i="6"/>
  <c r="I24" i="7" s="1"/>
  <c r="I20" i="6"/>
  <c r="I23" i="7" s="1"/>
  <c r="I23" i="6"/>
  <c r="I26" i="7" s="1"/>
  <c r="I19" i="6"/>
  <c r="I21" i="7" s="1"/>
  <c r="I17" i="6"/>
  <c r="I19" i="7" s="1"/>
  <c r="I15" i="6"/>
  <c r="I17" i="7" s="1"/>
  <c r="I18" i="6"/>
  <c r="I20" i="7" s="1"/>
  <c r="I16" i="6"/>
  <c r="I18" i="7" s="1"/>
  <c r="I14" i="6"/>
  <c r="I13" i="6"/>
  <c r="I10" i="6"/>
  <c r="I12" i="6"/>
  <c r="I13" i="7" s="1"/>
  <c r="I11" i="6"/>
  <c r="I9" i="6"/>
  <c r="I7" i="6"/>
  <c r="I8" i="7" s="1"/>
  <c r="I8" i="6"/>
  <c r="I7" i="7" s="1"/>
  <c r="I6" i="6"/>
  <c r="I16" i="5"/>
  <c r="I30" i="7" s="1"/>
  <c r="I15" i="5"/>
  <c r="I14" i="5"/>
  <c r="I13" i="5"/>
  <c r="I12" i="5"/>
  <c r="I11" i="5"/>
  <c r="I10" i="5"/>
  <c r="I9" i="5"/>
  <c r="I8" i="5"/>
  <c r="I7" i="5"/>
  <c r="I6" i="5"/>
  <c r="L32" i="6"/>
  <c r="M6" i="6" s="1"/>
  <c r="L28" i="7"/>
  <c r="L12" i="7"/>
  <c r="L22" i="7"/>
  <c r="L14" i="7"/>
  <c r="L27" i="7"/>
  <c r="L25" i="7"/>
  <c r="L26" i="7"/>
  <c r="L21" i="7"/>
  <c r="L20" i="7"/>
  <c r="L17" i="7"/>
  <c r="L18" i="7"/>
  <c r="L16" i="7"/>
  <c r="L30" i="7"/>
  <c r="L29" i="7"/>
  <c r="L19" i="7"/>
  <c r="L24" i="7"/>
  <c r="L23" i="7"/>
  <c r="L15" i="7"/>
  <c r="L13" i="7"/>
  <c r="L11" i="7"/>
  <c r="L9" i="7"/>
  <c r="L10" i="7"/>
  <c r="L8" i="7"/>
  <c r="L7" i="7"/>
  <c r="L6" i="7"/>
  <c r="F32" i="7"/>
  <c r="G6" i="7" s="1"/>
  <c r="C32" i="7"/>
  <c r="D6" i="7" s="1"/>
  <c r="I32" i="6"/>
  <c r="J6" i="6" s="1"/>
  <c r="F32" i="6"/>
  <c r="G6" i="6" s="1"/>
  <c r="C32" i="6"/>
  <c r="J18" i="6"/>
  <c r="K18" i="6" s="1"/>
  <c r="J25" i="6"/>
  <c r="K25" i="6" s="1"/>
  <c r="G11" i="6"/>
  <c r="H11" i="6" s="1"/>
  <c r="G12" i="6"/>
  <c r="H12" i="6" s="1"/>
  <c r="G10" i="6"/>
  <c r="H10" i="6" s="1"/>
  <c r="G13" i="6"/>
  <c r="H13" i="6" s="1"/>
  <c r="G14" i="6"/>
  <c r="H14" i="6" s="1"/>
  <c r="G16" i="6"/>
  <c r="H16" i="6" s="1"/>
  <c r="G18" i="6"/>
  <c r="H18" i="6" s="1"/>
  <c r="G19" i="6"/>
  <c r="H19" i="6" s="1"/>
  <c r="G23" i="6"/>
  <c r="H23" i="6" s="1"/>
  <c r="G20" i="6"/>
  <c r="H20" i="6" s="1"/>
  <c r="G21" i="6"/>
  <c r="H21" i="6" s="1"/>
  <c r="G17" i="6"/>
  <c r="H17" i="6" s="1"/>
  <c r="G27" i="6"/>
  <c r="H27" i="6" s="1"/>
  <c r="G22" i="6"/>
  <c r="H22" i="6" s="1"/>
  <c r="G25" i="6"/>
  <c r="H25" i="6" s="1"/>
  <c r="G26" i="6"/>
  <c r="H26" i="6" s="1"/>
  <c r="G24" i="6"/>
  <c r="H24" i="6" s="1"/>
  <c r="G29" i="6"/>
  <c r="H29" i="6" s="1"/>
  <c r="G28" i="6"/>
  <c r="H28" i="6" s="1"/>
  <c r="G30" i="6"/>
  <c r="H30" i="6" s="1"/>
  <c r="G31" i="6"/>
  <c r="H31" i="6" s="1"/>
  <c r="D15" i="6"/>
  <c r="E15" i="6" s="1"/>
  <c r="D22" i="6"/>
  <c r="E22" i="6" s="1"/>
  <c r="D28" i="6"/>
  <c r="E28" i="6" s="1"/>
  <c r="C18" i="5"/>
  <c r="L18" i="5"/>
  <c r="M6" i="5" s="1"/>
  <c r="I18" i="5"/>
  <c r="J6" i="5" s="1"/>
  <c r="F18" i="5"/>
  <c r="G6" i="5" s="1"/>
  <c r="G8" i="7"/>
  <c r="H8" i="7" s="1"/>
  <c r="G11" i="7"/>
  <c r="H11" i="7" s="1"/>
  <c r="G13" i="7"/>
  <c r="H13" i="7" s="1"/>
  <c r="D12" i="7"/>
  <c r="E12" i="7" s="1"/>
  <c r="G12" i="7"/>
  <c r="H12" i="7" s="1"/>
  <c r="D15" i="7"/>
  <c r="E15" i="7" s="1"/>
  <c r="G15" i="7"/>
  <c r="H15" i="7" s="1"/>
  <c r="D14" i="7"/>
  <c r="E14" i="7" s="1"/>
  <c r="G14" i="7"/>
  <c r="H14" i="7" s="1"/>
  <c r="D16" i="7"/>
  <c r="E16" i="7" s="1"/>
  <c r="G16" i="7"/>
  <c r="H16" i="7" s="1"/>
  <c r="D18" i="7"/>
  <c r="E18" i="7" s="1"/>
  <c r="G18" i="7"/>
  <c r="H18" i="7" s="1"/>
  <c r="D17" i="7"/>
  <c r="E17" i="7" s="1"/>
  <c r="G17" i="7"/>
  <c r="H17" i="7" s="1"/>
  <c r="D20" i="7"/>
  <c r="E20" i="7" s="1"/>
  <c r="G20" i="7"/>
  <c r="H20" i="7" s="1"/>
  <c r="D21" i="7"/>
  <c r="E21" i="7" s="1"/>
  <c r="G21" i="7"/>
  <c r="H21" i="7" s="1"/>
  <c r="D26" i="7"/>
  <c r="E26" i="7" s="1"/>
  <c r="G26" i="7"/>
  <c r="H26" i="7" s="1"/>
  <c r="D23" i="7"/>
  <c r="E23" i="7" s="1"/>
  <c r="G23" i="7"/>
  <c r="H23" i="7" s="1"/>
  <c r="D22" i="7"/>
  <c r="E22" i="7" s="1"/>
  <c r="G22" i="7"/>
  <c r="H22" i="7" s="1"/>
  <c r="D24" i="7"/>
  <c r="E24" i="7" s="1"/>
  <c r="G24" i="7"/>
  <c r="H24" i="7" s="1"/>
  <c r="D19" i="7"/>
  <c r="E19" i="7" s="1"/>
  <c r="G19" i="7"/>
  <c r="H19" i="7" s="1"/>
  <c r="D29" i="7"/>
  <c r="E29" i="7" s="1"/>
  <c r="G29" i="7"/>
  <c r="H29" i="7" s="1"/>
  <c r="D25" i="7"/>
  <c r="E25" i="7" s="1"/>
  <c r="G25" i="7"/>
  <c r="H25" i="7" s="1"/>
  <c r="G28" i="7"/>
  <c r="H28" i="7" s="1"/>
  <c r="D27" i="7"/>
  <c r="E27" i="7" s="1"/>
  <c r="G27" i="7"/>
  <c r="H27" i="7" s="1"/>
  <c r="D31" i="7"/>
  <c r="E31" i="7" s="1"/>
  <c r="G31" i="7"/>
  <c r="H31" i="7" s="1"/>
  <c r="D30" i="7"/>
  <c r="E30" i="7" s="1"/>
  <c r="G30" i="7"/>
  <c r="H30" i="7" s="1"/>
  <c r="J28" i="6" l="1"/>
  <c r="K28" i="6" s="1"/>
  <c r="J21" i="6"/>
  <c r="K21" i="6" s="1"/>
  <c r="J13" i="6"/>
  <c r="K13" i="6" s="1"/>
  <c r="J31" i="6"/>
  <c r="K31" i="6" s="1"/>
  <c r="J24" i="6"/>
  <c r="K24" i="6" s="1"/>
  <c r="J27" i="6"/>
  <c r="K27" i="6" s="1"/>
  <c r="J23" i="6"/>
  <c r="K23" i="6" s="1"/>
  <c r="J16" i="6"/>
  <c r="K16" i="6" s="1"/>
  <c r="J10" i="6"/>
  <c r="K10" i="6" s="1"/>
  <c r="I6" i="7"/>
  <c r="I11" i="7"/>
  <c r="I12" i="7"/>
  <c r="I16" i="7"/>
  <c r="I14" i="7"/>
  <c r="I15" i="7"/>
  <c r="I10" i="7"/>
  <c r="I9" i="7"/>
  <c r="I22" i="7"/>
  <c r="D6" i="6"/>
  <c r="D26" i="6"/>
  <c r="E26" i="6" s="1"/>
  <c r="D13" i="7"/>
  <c r="E13" i="7" s="1"/>
  <c r="D9" i="7"/>
  <c r="E9" i="7" s="1"/>
  <c r="D8" i="7"/>
  <c r="E8" i="7" s="1"/>
  <c r="D30" i="6"/>
  <c r="D24" i="6"/>
  <c r="E24" i="6" s="1"/>
  <c r="D20" i="6"/>
  <c r="E20" i="6" s="1"/>
  <c r="D10" i="6"/>
  <c r="E10" i="6" s="1"/>
  <c r="J14" i="5"/>
  <c r="J15" i="5"/>
  <c r="D31" i="6"/>
  <c r="E31" i="6" s="1"/>
  <c r="D29" i="6"/>
  <c r="E29" i="6" s="1"/>
  <c r="D25" i="6"/>
  <c r="E25" i="6" s="1"/>
  <c r="D17" i="6"/>
  <c r="E17" i="6" s="1"/>
  <c r="D19" i="6"/>
  <c r="E19" i="6" s="1"/>
  <c r="D14" i="6"/>
  <c r="E14" i="6" s="1"/>
  <c r="D11" i="6"/>
  <c r="E11" i="6" s="1"/>
  <c r="D11" i="7"/>
  <c r="E11" i="7" s="1"/>
  <c r="G15" i="6"/>
  <c r="H15" i="6" s="1"/>
  <c r="G9" i="6"/>
  <c r="H9" i="6" s="1"/>
  <c r="G8" i="6"/>
  <c r="H8" i="6" s="1"/>
  <c r="J11" i="6"/>
  <c r="K11" i="6" s="1"/>
  <c r="J30" i="6"/>
  <c r="K30" i="6" s="1"/>
  <c r="J29" i="6"/>
  <c r="K29" i="6" s="1"/>
  <c r="J26" i="6"/>
  <c r="K26" i="6" s="1"/>
  <c r="J22" i="6"/>
  <c r="K22" i="6" s="1"/>
  <c r="J17" i="6"/>
  <c r="K17" i="6" s="1"/>
  <c r="J20" i="6"/>
  <c r="K20" i="6" s="1"/>
  <c r="J19" i="6"/>
  <c r="K19" i="6" s="1"/>
  <c r="J15" i="6"/>
  <c r="K15" i="6" s="1"/>
  <c r="J14" i="6"/>
  <c r="K14" i="6" s="1"/>
  <c r="J9" i="6"/>
  <c r="K9" i="6" s="1"/>
  <c r="J12" i="6"/>
  <c r="K12" i="6" s="1"/>
  <c r="D9" i="6"/>
  <c r="E9" i="6" s="1"/>
  <c r="J8" i="6"/>
  <c r="K8" i="6" s="1"/>
  <c r="M11" i="6"/>
  <c r="N11" i="6" s="1"/>
  <c r="D6" i="5"/>
  <c r="L32" i="7"/>
  <c r="M6" i="7" s="1"/>
  <c r="G9" i="7"/>
  <c r="H9" i="7" s="1"/>
  <c r="G7" i="7"/>
  <c r="H7" i="7" s="1"/>
  <c r="D7" i="7"/>
  <c r="E7" i="7" s="1"/>
  <c r="M31" i="6"/>
  <c r="N31" i="6" s="1"/>
  <c r="M26" i="6"/>
  <c r="N26" i="6" s="1"/>
  <c r="M28" i="6"/>
  <c r="N28" i="6" s="1"/>
  <c r="M19" i="6"/>
  <c r="N19" i="6" s="1"/>
  <c r="M30" i="6"/>
  <c r="N30" i="6" s="1"/>
  <c r="M29" i="6"/>
  <c r="N29" i="6" s="1"/>
  <c r="M17" i="6"/>
  <c r="N17" i="6" s="1"/>
  <c r="M14" i="6"/>
  <c r="N14" i="6" s="1"/>
  <c r="M22" i="6"/>
  <c r="N22" i="6" s="1"/>
  <c r="M20" i="6"/>
  <c r="N20" i="6" s="1"/>
  <c r="M15" i="6"/>
  <c r="N15" i="6" s="1"/>
  <c r="M10" i="6"/>
  <c r="N10" i="6" s="1"/>
  <c r="M7" i="6"/>
  <c r="N7" i="6" s="1"/>
  <c r="M24" i="6"/>
  <c r="N24" i="6" s="1"/>
  <c r="M25" i="6"/>
  <c r="N25" i="6" s="1"/>
  <c r="M27" i="6"/>
  <c r="N27" i="6" s="1"/>
  <c r="M21" i="6"/>
  <c r="N21" i="6" s="1"/>
  <c r="M23" i="6"/>
  <c r="N23" i="6" s="1"/>
  <c r="M18" i="6"/>
  <c r="N18" i="6" s="1"/>
  <c r="M16" i="6"/>
  <c r="N16" i="6" s="1"/>
  <c r="M13" i="6"/>
  <c r="N13" i="6" s="1"/>
  <c r="M12" i="6"/>
  <c r="N12" i="6" s="1"/>
  <c r="M9" i="6"/>
  <c r="N9" i="6" s="1"/>
  <c r="M8" i="6"/>
  <c r="N8" i="6" s="1"/>
  <c r="N6" i="6"/>
  <c r="K6" i="6"/>
  <c r="J7" i="6"/>
  <c r="K7" i="6" s="1"/>
  <c r="H6" i="6"/>
  <c r="G7" i="6"/>
  <c r="H7" i="6" s="1"/>
  <c r="D8" i="6"/>
  <c r="E8" i="6" s="1"/>
  <c r="E6" i="6"/>
  <c r="D27" i="6"/>
  <c r="E27" i="6" s="1"/>
  <c r="D21" i="6"/>
  <c r="E21" i="6" s="1"/>
  <c r="D23" i="6"/>
  <c r="E23" i="6" s="1"/>
  <c r="D18" i="6"/>
  <c r="E18" i="6" s="1"/>
  <c r="D16" i="6"/>
  <c r="E16" i="6" s="1"/>
  <c r="D13" i="6"/>
  <c r="E13" i="6" s="1"/>
  <c r="D12" i="6"/>
  <c r="E12" i="6" s="1"/>
  <c r="D7" i="6"/>
  <c r="E7" i="6" s="1"/>
  <c r="M9" i="5"/>
  <c r="N9" i="5" s="1"/>
  <c r="G13" i="5"/>
  <c r="H13" i="5" s="1"/>
  <c r="D10" i="5"/>
  <c r="E10" i="5" s="1"/>
  <c r="G17" i="5"/>
  <c r="H17" i="5" s="1"/>
  <c r="G11" i="5"/>
  <c r="H11" i="5" s="1"/>
  <c r="J17" i="5"/>
  <c r="K17" i="5" s="1"/>
  <c r="J11" i="5"/>
  <c r="K11" i="5" s="1"/>
  <c r="J13" i="5"/>
  <c r="K13" i="5" s="1"/>
  <c r="J9" i="5"/>
  <c r="K9" i="5" s="1"/>
  <c r="M8" i="5"/>
  <c r="N8" i="5" s="1"/>
  <c r="N6" i="5"/>
  <c r="M15" i="5"/>
  <c r="N15" i="5" s="1"/>
  <c r="M17" i="5"/>
  <c r="N17" i="5" s="1"/>
  <c r="M14" i="5"/>
  <c r="N14" i="5" s="1"/>
  <c r="M16" i="5"/>
  <c r="N16" i="5" s="1"/>
  <c r="M13" i="5"/>
  <c r="N13" i="5" s="1"/>
  <c r="M12" i="5"/>
  <c r="N12" i="5" s="1"/>
  <c r="M11" i="5"/>
  <c r="N11" i="5" s="1"/>
  <c r="M10" i="5"/>
  <c r="N10" i="5" s="1"/>
  <c r="M7" i="5"/>
  <c r="N7" i="5" s="1"/>
  <c r="J16" i="5"/>
  <c r="K16" i="5" s="1"/>
  <c r="J12" i="5"/>
  <c r="K12" i="5" s="1"/>
  <c r="J10" i="5"/>
  <c r="K10" i="5" s="1"/>
  <c r="J8" i="5"/>
  <c r="K8" i="5" s="1"/>
  <c r="K6" i="5"/>
  <c r="J7" i="5"/>
  <c r="K7" i="5" s="1"/>
  <c r="G16" i="5"/>
  <c r="H16" i="5" s="1"/>
  <c r="G12" i="5"/>
  <c r="H12" i="5" s="1"/>
  <c r="G10" i="5"/>
  <c r="H10" i="5" s="1"/>
  <c r="H6" i="5"/>
  <c r="G9" i="5"/>
  <c r="H9" i="5" s="1"/>
  <c r="G8" i="5"/>
  <c r="H8" i="5" s="1"/>
  <c r="G7" i="5"/>
  <c r="H7" i="5" s="1"/>
  <c r="D8" i="5"/>
  <c r="E8" i="5" s="1"/>
  <c r="E6" i="5"/>
  <c r="D17" i="5"/>
  <c r="E17" i="5" s="1"/>
  <c r="D16" i="5"/>
  <c r="E16" i="5" s="1"/>
  <c r="D13" i="5"/>
  <c r="E13" i="5" s="1"/>
  <c r="D12" i="5"/>
  <c r="E12" i="5" s="1"/>
  <c r="D11" i="5"/>
  <c r="E11" i="5" s="1"/>
  <c r="D9" i="5"/>
  <c r="E9" i="5" s="1"/>
  <c r="D7" i="5"/>
  <c r="E7" i="5" s="1"/>
  <c r="E6" i="7"/>
  <c r="H6" i="7"/>
  <c r="D10" i="7"/>
  <c r="E10" i="7" s="1"/>
  <c r="G10" i="7"/>
  <c r="H10" i="7" s="1"/>
  <c r="I32" i="7" l="1"/>
  <c r="J11" i="7" s="1"/>
  <c r="K11" i="7" s="1"/>
  <c r="K32" i="6"/>
  <c r="F37" i="6" s="1"/>
  <c r="G22" i="5"/>
  <c r="F7" i="4"/>
  <c r="J32" i="6"/>
  <c r="G36" i="6"/>
  <c r="F36" i="6"/>
  <c r="D36" i="6"/>
  <c r="E36" i="6"/>
  <c r="E36" i="7"/>
  <c r="D36" i="7"/>
  <c r="N32" i="6"/>
  <c r="E32" i="6"/>
  <c r="D37" i="6" s="1"/>
  <c r="H32" i="6"/>
  <c r="E37" i="6" s="1"/>
  <c r="G32" i="6"/>
  <c r="D22" i="5"/>
  <c r="F22" i="5"/>
  <c r="E22" i="5"/>
  <c r="M10" i="7"/>
  <c r="N10" i="7" s="1"/>
  <c r="M29" i="7"/>
  <c r="N29" i="7" s="1"/>
  <c r="M27" i="7"/>
  <c r="N27" i="7" s="1"/>
  <c r="M23" i="7"/>
  <c r="N23" i="7" s="1"/>
  <c r="M9" i="7"/>
  <c r="N9" i="7" s="1"/>
  <c r="M30" i="7"/>
  <c r="N30" i="7" s="1"/>
  <c r="M24" i="7"/>
  <c r="N24" i="7" s="1"/>
  <c r="M21" i="7"/>
  <c r="N21" i="7" s="1"/>
  <c r="M7" i="7"/>
  <c r="N7" i="7" s="1"/>
  <c r="M8" i="7"/>
  <c r="N8" i="7" s="1"/>
  <c r="M28" i="7"/>
  <c r="N28" i="7" s="1"/>
  <c r="M31" i="7"/>
  <c r="N31" i="7" s="1"/>
  <c r="M25" i="7"/>
  <c r="N25" i="7" s="1"/>
  <c r="M19" i="7"/>
  <c r="N19" i="7" s="1"/>
  <c r="M22" i="7"/>
  <c r="N22" i="7" s="1"/>
  <c r="M26" i="7"/>
  <c r="N26" i="7" s="1"/>
  <c r="M17" i="7"/>
  <c r="N17" i="7" s="1"/>
  <c r="M16" i="7"/>
  <c r="N16" i="7" s="1"/>
  <c r="M15" i="7"/>
  <c r="N15" i="7" s="1"/>
  <c r="M20" i="7"/>
  <c r="N20" i="7" s="1"/>
  <c r="M18" i="7"/>
  <c r="N18" i="7" s="1"/>
  <c r="M14" i="7"/>
  <c r="N14" i="7" s="1"/>
  <c r="M12" i="7"/>
  <c r="N12" i="7" s="1"/>
  <c r="M13" i="7"/>
  <c r="N13" i="7" s="1"/>
  <c r="M11" i="7"/>
  <c r="N11" i="7" s="1"/>
  <c r="N6" i="7"/>
  <c r="M32" i="6"/>
  <c r="G37" i="6"/>
  <c r="D32" i="6"/>
  <c r="N18" i="5"/>
  <c r="G23" i="5" s="1"/>
  <c r="E18" i="5"/>
  <c r="D23" i="5" s="1"/>
  <c r="H18" i="5"/>
  <c r="E23" i="5" s="1"/>
  <c r="M18" i="5"/>
  <c r="K18" i="5"/>
  <c r="F23" i="5" s="1"/>
  <c r="J18" i="5"/>
  <c r="D18" i="5"/>
  <c r="H32" i="7"/>
  <c r="E37" i="7" s="1"/>
  <c r="G32" i="7"/>
  <c r="E32" i="7"/>
  <c r="D37" i="7" s="1"/>
  <c r="J12" i="7" l="1"/>
  <c r="K12" i="7" s="1"/>
  <c r="J6" i="7"/>
  <c r="J18" i="7"/>
  <c r="K18" i="7" s="1"/>
  <c r="J20" i="7"/>
  <c r="K20" i="7" s="1"/>
  <c r="J19" i="7"/>
  <c r="K19" i="7" s="1"/>
  <c r="J31" i="7"/>
  <c r="K31" i="7" s="1"/>
  <c r="J17" i="7"/>
  <c r="K17" i="7" s="1"/>
  <c r="J21" i="7"/>
  <c r="K21" i="7" s="1"/>
  <c r="J23" i="7"/>
  <c r="K23" i="7" s="1"/>
  <c r="J24" i="7"/>
  <c r="K24" i="7" s="1"/>
  <c r="J29" i="7"/>
  <c r="K29" i="7" s="1"/>
  <c r="J27" i="7"/>
  <c r="K27" i="7" s="1"/>
  <c r="J30" i="7"/>
  <c r="K30" i="7" s="1"/>
  <c r="J26" i="7"/>
  <c r="K26" i="7" s="1"/>
  <c r="J25" i="7"/>
  <c r="K25" i="7" s="1"/>
  <c r="J28" i="7"/>
  <c r="K28" i="7" s="1"/>
  <c r="J14" i="7"/>
  <c r="K14" i="7" s="1"/>
  <c r="J15" i="7"/>
  <c r="K15" i="7" s="1"/>
  <c r="J7" i="7"/>
  <c r="K7" i="7" s="1"/>
  <c r="J8" i="7"/>
  <c r="K8" i="7" s="1"/>
  <c r="J16" i="7"/>
  <c r="K16" i="7" s="1"/>
  <c r="J13" i="7"/>
  <c r="K13" i="7" s="1"/>
  <c r="J10" i="7"/>
  <c r="K10" i="7" s="1"/>
  <c r="J22" i="7"/>
  <c r="K22" i="7" s="1"/>
  <c r="J9" i="7"/>
  <c r="K9" i="7" s="1"/>
  <c r="F6" i="4"/>
  <c r="G36" i="7"/>
  <c r="F5" i="4"/>
  <c r="N32" i="7"/>
  <c r="G37" i="7" s="1"/>
  <c r="M32" i="7"/>
  <c r="E7" i="4" l="1"/>
  <c r="K6" i="7"/>
  <c r="K32" i="7" s="1"/>
  <c r="F37" i="7" s="1"/>
  <c r="E6" i="4"/>
  <c r="F36" i="7"/>
  <c r="E5" i="4"/>
  <c r="J32" i="7"/>
</calcChain>
</file>

<file path=xl/sharedStrings.xml><?xml version="1.0" encoding="utf-8"?>
<sst xmlns="http://schemas.openxmlformats.org/spreadsheetml/2006/main" count="165" uniqueCount="54">
  <si>
    <t>HHI</t>
  </si>
  <si>
    <t xml:space="preserve"> </t>
  </si>
  <si>
    <t>Tržišni udio</t>
  </si>
  <si>
    <t>2009.</t>
  </si>
  <si>
    <t>2010.</t>
  </si>
  <si>
    <t>2011.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</si>
  <si>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</si>
  <si>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</si>
  <si>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</si>
  <si>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</si>
  <si>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</si>
  <si>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</si>
  <si>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</si>
  <si>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Jahorina osiguranje a.d.</t>
  </si>
  <si>
    <t>Dunav osiguranje a.d.</t>
  </si>
  <si>
    <t>Hercegovina osiguranje d.d.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</si>
  <si>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</si>
  <si>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</si>
  <si>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</si>
  <si>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</si>
  <si>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</si>
  <si>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</si>
  <si>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</si>
  <si>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</si>
  <si>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</si>
  <si>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</si>
  <si>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</si>
  <si>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</si>
  <si>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</si>
  <si>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</si>
  <si>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</si>
  <si>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HHI indeks za tržište životnog osiguranja u BiH</t>
  </si>
  <si>
    <t>Tržišni udio prva četiri društva</t>
  </si>
  <si>
    <t>Bosna-Sunce osiguranje d.d.</t>
  </si>
  <si>
    <t>HHI indeks za tržište neživotnog osiguranja u BiH</t>
  </si>
  <si>
    <t>HHI indeks za tržište životnog i neživotnog osiguranja u BiH</t>
  </si>
  <si>
    <t>LOK osiguranje d.d.</t>
  </si>
  <si>
    <t>2012.</t>
  </si>
  <si>
    <t>LOK osiguranje d.d.*</t>
  </si>
  <si>
    <t>Lido osiguranje d.d.*</t>
  </si>
  <si>
    <t>01.01.-30.04.2012. g.</t>
  </si>
  <si>
    <t>LOK osiguranje d.d.**</t>
  </si>
  <si>
    <t>Sarajevo-osiguranje d.d.</t>
  </si>
  <si>
    <t>Prvih pet osiguravatelja</t>
  </si>
  <si>
    <t>Prvih deset osiguravatelja</t>
  </si>
  <si>
    <t>Osiguravajuće društvo</t>
  </si>
  <si>
    <t>životnih osiguranja uzeti su podaci o premiji osiguranja za razdoblje 01.01.-30.11.2012. g.</t>
  </si>
  <si>
    <t>Premija (u tisućama KM)</t>
  </si>
  <si>
    <t>neživotnih osiguranja uzeti su podaci o premiji osiguranja ostvarenoj za razdoblje</t>
  </si>
  <si>
    <t>Koncentracija tržišta osiguranja u BiH za 2009., 2010., 2011. i 2012.</t>
  </si>
  <si>
    <t>*Za osiguravajuće društvo LOK osiguranje d.d. Sarajevo koje je obavljalo poslove</t>
  </si>
  <si>
    <t>*Za osiguravajuće društvo Lido osiguranje d.d. Sarajevo koje je obavljalo poslove</t>
  </si>
  <si>
    <t>**Za osiguravajuće društvo LOK osiguranje d.d. Sarajevo koje je obavljalo poslove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</si>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</sst>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0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09">
    <xf numFmtId="0" fontId="0" fillId="0" borderId="0" xfId="0"/>
    <xf numFmtId="0" fontId="23" fillId="0" borderId="0" xfId="40" applyFont="1"/>
    <xf numFmtId="0" fontId="24" fillId="0" borderId="0" xfId="40" applyFont="1" applyBorder="1" applyAlignment="1"/>
    <xf numFmtId="0" fontId="23" fillId="0" borderId="0" xfId="40" applyFont="1" applyBorder="1" applyAlignment="1"/>
    <xf numFmtId="0" fontId="23" fillId="0" borderId="0" xfId="151" applyFont="1"/>
    <xf numFmtId="0" fontId="27" fillId="0" borderId="0" xfId="151" applyFont="1" applyAlignment="1">
      <alignment horizontal="left"/>
    </xf>
    <xf numFmtId="1" fontId="23" fillId="0" borderId="0" xfId="151" applyNumberFormat="1" applyFont="1"/>
    <xf numFmtId="0" fontId="26" fillId="0" borderId="0" xfId="151" applyFont="1"/>
    <xf numFmtId="0" fontId="26" fillId="0" borderId="0" xfId="151" applyFont="1" applyAlignment="1">
      <alignment horizontal="left"/>
    </xf>
    <xf numFmtId="3" fontId="26" fillId="0" borderId="0" xfId="151" applyNumberFormat="1" applyFont="1"/>
    <xf numFmtId="0" fontId="26" fillId="0" borderId="0" xfId="151" applyFont="1" applyBorder="1"/>
    <xf numFmtId="0" fontId="30" fillId="0" borderId="0" xfId="151" applyFont="1" applyBorder="1"/>
    <xf numFmtId="3" fontId="23" fillId="0" borderId="0" xfId="151" applyNumberFormat="1" applyFont="1" applyBorder="1"/>
    <xf numFmtId="3" fontId="29" fillId="0" borderId="0" xfId="151" applyNumberFormat="1" applyFont="1" applyBorder="1"/>
    <xf numFmtId="10" fontId="32" fillId="0" borderId="10" xfId="40" applyNumberFormat="1" applyFont="1" applyBorder="1" applyAlignment="1">
      <alignment horizontal="center"/>
    </xf>
    <xf numFmtId="0" fontId="33" fillId="26" borderId="16" xfId="151" applyFont="1" applyFill="1" applyBorder="1" applyAlignment="1">
      <alignment horizontal="right" vertical="center" wrapText="1"/>
    </xf>
    <xf numFmtId="0" fontId="33" fillId="26" borderId="10" xfId="151" applyFont="1" applyFill="1" applyBorder="1" applyAlignment="1">
      <alignment horizontal="center" vertical="center" wrapText="1"/>
    </xf>
    <xf numFmtId="0" fontId="33" fillId="26" borderId="10" xfId="151" applyFont="1" applyFill="1" applyBorder="1" applyAlignment="1">
      <alignment horizontal="center" vertical="center"/>
    </xf>
    <xf numFmtId="0" fontId="33" fillId="26" borderId="15" xfId="151" applyFont="1" applyFill="1" applyBorder="1" applyAlignment="1">
      <alignment horizontal="center" vertical="center"/>
    </xf>
    <xf numFmtId="3" fontId="34" fillId="0" borderId="10" xfId="151" applyNumberFormat="1" applyFont="1" applyBorder="1" applyAlignment="1">
      <alignment horizontal="right" wrapText="1"/>
    </xf>
    <xf numFmtId="2" fontId="34" fillId="25" borderId="10" xfId="151" applyNumberFormat="1" applyFont="1" applyFill="1" applyBorder="1" applyAlignment="1">
      <alignment horizontal="right"/>
    </xf>
    <xf numFmtId="1" fontId="34" fillId="0" borderId="10" xfId="151" applyNumberFormat="1" applyFont="1" applyBorder="1" applyAlignment="1">
      <alignment horizontal="right"/>
    </xf>
    <xf numFmtId="3" fontId="32" fillId="0" borderId="10" xfId="151" applyNumberFormat="1" applyFont="1" applyFill="1" applyBorder="1" applyAlignment="1">
      <alignment horizontal="right" wrapText="1"/>
    </xf>
    <xf numFmtId="1" fontId="34" fillId="0" borderId="15" xfId="151" applyNumberFormat="1" applyFont="1" applyBorder="1" applyAlignment="1">
      <alignment horizontal="right"/>
    </xf>
    <xf numFmtId="3" fontId="34" fillId="0" borderId="10" xfId="151" applyNumberFormat="1" applyFont="1" applyBorder="1" applyAlignment="1">
      <alignment horizontal="right"/>
    </xf>
    <xf numFmtId="2" fontId="34" fillId="0" borderId="10" xfId="151" applyNumberFormat="1" applyFont="1" applyFill="1" applyBorder="1" applyAlignment="1">
      <alignment horizontal="right"/>
    </xf>
    <xf numFmtId="3" fontId="32" fillId="0" borderId="10" xfId="151" applyNumberFormat="1" applyFont="1" applyBorder="1" applyAlignment="1">
      <alignment horizontal="right" wrapText="1"/>
    </xf>
    <xf numFmtId="0" fontId="34" fillId="0" borderId="10" xfId="151" applyFont="1" applyBorder="1" applyAlignment="1">
      <alignment horizontal="right"/>
    </xf>
    <xf numFmtId="0" fontId="34" fillId="0" borderId="10" xfId="151" applyFont="1" applyBorder="1" applyAlignment="1">
      <alignment horizontal="right" wrapText="1"/>
    </xf>
    <xf numFmtId="0" fontId="34" fillId="0" borderId="10" xfId="151" applyFont="1" applyFill="1" applyBorder="1" applyAlignment="1">
      <alignment horizontal="right"/>
    </xf>
    <xf numFmtId="0" fontId="33" fillId="26" borderId="16" xfId="151" applyFont="1" applyFill="1" applyBorder="1" applyAlignment="1">
      <alignment horizontal="right" wrapText="1"/>
    </xf>
    <xf numFmtId="3" fontId="33" fillId="26" borderId="17" xfId="151" applyNumberFormat="1" applyFont="1" applyFill="1" applyBorder="1" applyAlignment="1">
      <alignment horizontal="right"/>
    </xf>
    <xf numFmtId="1" fontId="33" fillId="26" borderId="17" xfId="151" applyNumberFormat="1" applyFont="1" applyFill="1" applyBorder="1" applyAlignment="1">
      <alignment horizontal="right"/>
    </xf>
    <xf numFmtId="10" fontId="32" fillId="0" borderId="10" xfId="151" applyNumberFormat="1" applyFont="1" applyBorder="1" applyAlignment="1">
      <alignment horizontal="center"/>
    </xf>
    <xf numFmtId="3" fontId="32" fillId="24" borderId="10" xfId="151" applyNumberFormat="1" applyFont="1" applyFill="1" applyBorder="1" applyAlignment="1">
      <alignment horizontal="right" wrapText="1"/>
    </xf>
    <xf numFmtId="1" fontId="32" fillId="24" borderId="10" xfId="151" applyNumberFormat="1" applyFont="1" applyFill="1" applyBorder="1" applyAlignment="1">
      <alignment horizontal="right"/>
    </xf>
    <xf numFmtId="3" fontId="32" fillId="24" borderId="10" xfId="151" applyNumberFormat="1" applyFont="1" applyFill="1" applyBorder="1" applyAlignment="1">
      <alignment horizontal="right"/>
    </xf>
    <xf numFmtId="3" fontId="32" fillId="0" borderId="10" xfId="151" applyNumberFormat="1" applyFont="1" applyFill="1" applyBorder="1" applyAlignment="1">
      <alignment horizontal="right"/>
    </xf>
    <xf numFmtId="1" fontId="32" fillId="24" borderId="15" xfId="151" applyNumberFormat="1" applyFont="1" applyFill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0" fontId="32" fillId="24" borderId="10" xfId="151" applyFont="1" applyFill="1" applyBorder="1" applyAlignment="1">
      <alignment horizontal="right"/>
    </xf>
    <xf numFmtId="3" fontId="31" fillId="26" borderId="17" xfId="151" applyNumberFormat="1" applyFont="1" applyFill="1" applyBorder="1" applyAlignment="1">
      <alignment horizontal="right"/>
    </xf>
    <xf numFmtId="1" fontId="31" fillId="26" borderId="17" xfId="151" applyNumberFormat="1" applyFont="1" applyFill="1" applyBorder="1" applyAlignment="1">
      <alignment horizontal="right"/>
    </xf>
    <xf numFmtId="2" fontId="31" fillId="26" borderId="17" xfId="151" applyNumberFormat="1" applyFont="1" applyFill="1" applyBorder="1" applyAlignment="1">
      <alignment horizontal="right"/>
    </xf>
    <xf numFmtId="1" fontId="31" fillId="26" borderId="18" xfId="151" applyNumberFormat="1" applyFont="1" applyFill="1" applyBorder="1" applyAlignment="1">
      <alignment horizontal="right"/>
    </xf>
    <xf numFmtId="3" fontId="34" fillId="24" borderId="10" xfId="151" applyNumberFormat="1" applyFont="1" applyFill="1" applyBorder="1" applyAlignment="1">
      <alignment horizontal="right" vertical="center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3" fontId="32" fillId="24" borderId="10" xfId="151" applyNumberFormat="1" applyFont="1" applyFill="1" applyBorder="1" applyAlignment="1">
      <alignment horizontal="right" vertical="center"/>
    </xf>
    <xf numFmtId="1" fontId="34" fillId="24" borderId="15" xfId="151" applyNumberFormat="1" applyFont="1" applyFill="1" applyBorder="1" applyAlignment="1">
      <alignment horizontal="right" vertical="center"/>
    </xf>
    <xf numFmtId="3" fontId="34" fillId="24" borderId="10" xfId="151" applyNumberFormat="1" applyFont="1" applyFill="1" applyBorder="1" applyAlignment="1">
      <alignment horizontal="right" vertical="center" wrapText="1"/>
    </xf>
    <xf numFmtId="2" fontId="34" fillId="0" borderId="10" xfId="151" applyNumberFormat="1" applyFont="1" applyFill="1" applyBorder="1" applyAlignment="1">
      <alignment horizontal="right" vertical="center"/>
    </xf>
    <xf numFmtId="0" fontId="34" fillId="24" borderId="10" xfId="151" applyFont="1" applyFill="1" applyBorder="1" applyAlignment="1">
      <alignment horizontal="right" vertical="center"/>
    </xf>
    <xf numFmtId="3" fontId="33" fillId="26" borderId="17" xfId="151" applyNumberFormat="1" applyFont="1" applyFill="1" applyBorder="1" applyAlignment="1">
      <alignment horizontal="right" vertical="center"/>
    </xf>
    <xf numFmtId="1" fontId="33" fillId="26" borderId="17" xfId="151" applyNumberFormat="1" applyFont="1" applyFill="1" applyBorder="1" applyAlignment="1">
      <alignment horizontal="right" vertical="center"/>
    </xf>
    <xf numFmtId="3" fontId="31" fillId="26" borderId="17" xfId="151" applyNumberFormat="1" applyFont="1" applyFill="1" applyBorder="1" applyAlignment="1">
      <alignment horizontal="right" vertical="center"/>
    </xf>
    <xf numFmtId="0" fontId="33" fillId="26" borderId="17" xfId="151" applyFont="1" applyFill="1" applyBorder="1" applyAlignment="1">
      <alignment horizontal="right" vertical="center"/>
    </xf>
    <xf numFmtId="1" fontId="33" fillId="26" borderId="18" xfId="151" applyNumberFormat="1" applyFont="1" applyFill="1" applyBorder="1" applyAlignment="1">
      <alignment horizontal="right" vertical="center"/>
    </xf>
    <xf numFmtId="0" fontId="31" fillId="25" borderId="11" xfId="40" applyFont="1" applyFill="1" applyBorder="1" applyAlignment="1">
      <alignment horizontal="center" vertical="center"/>
    </xf>
    <xf numFmtId="0" fontId="31" fillId="25" borderId="12" xfId="40" applyFont="1" applyFill="1" applyBorder="1" applyAlignment="1">
      <alignment horizontal="center" vertical="center"/>
    </xf>
    <xf numFmtId="0" fontId="31" fillId="25" borderId="13" xfId="40" applyFont="1" applyFill="1" applyBorder="1" applyAlignment="1">
      <alignment horizontal="center" vertical="center"/>
    </xf>
    <xf numFmtId="0" fontId="32" fillId="0" borderId="14" xfId="40" applyFont="1" applyBorder="1"/>
    <xf numFmtId="10" fontId="32" fillId="0" borderId="15" xfId="40" applyNumberFormat="1" applyFont="1" applyBorder="1" applyAlignment="1">
      <alignment horizontal="center"/>
    </xf>
    <xf numFmtId="0" fontId="32" fillId="0" borderId="14" xfId="40" applyFont="1" applyBorder="1" applyAlignment="1">
      <alignment horizontal="left"/>
    </xf>
    <xf numFmtId="0" fontId="32" fillId="0" borderId="16" xfId="40" applyFont="1" applyBorder="1" applyAlignment="1">
      <alignment horizontal="left"/>
    </xf>
    <xf numFmtId="10" fontId="32" fillId="0" borderId="17" xfId="40" applyNumberFormat="1" applyFont="1" applyBorder="1" applyAlignment="1">
      <alignment horizontal="center"/>
    </xf>
    <xf numFmtId="10" fontId="32" fillId="0" borderId="18" xfId="40" applyNumberFormat="1" applyFont="1" applyBorder="1" applyAlignment="1">
      <alignment horizontal="center"/>
    </xf>
    <xf numFmtId="0" fontId="35" fillId="0" borderId="0" xfId="40" applyFont="1"/>
    <xf numFmtId="0" fontId="35" fillId="0" borderId="0" xfId="151" applyFont="1"/>
    <xf numFmtId="0" fontId="36" fillId="24" borderId="14" xfId="151" applyFont="1" applyFill="1" applyBorder="1" applyAlignment="1">
      <alignment horizontal="justify" vertical="center"/>
    </xf>
    <xf numFmtId="0" fontId="36" fillId="24" borderId="14" xfId="151" applyFont="1" applyFill="1" applyBorder="1" applyAlignment="1">
      <alignment horizontal="left"/>
    </xf>
    <xf numFmtId="3" fontId="33" fillId="26" borderId="18" xfId="151" applyNumberFormat="1" applyFont="1" applyFill="1" applyBorder="1" applyAlignment="1">
      <alignment horizontal="right" vertical="center"/>
    </xf>
    <xf numFmtId="0" fontId="31" fillId="25" borderId="12" xfId="151" applyFont="1" applyFill="1" applyBorder="1" applyAlignment="1">
      <alignment horizontal="center"/>
    </xf>
    <xf numFmtId="0" fontId="31" fillId="25" borderId="13" xfId="151" applyFont="1" applyFill="1" applyBorder="1" applyAlignment="1">
      <alignment horizontal="center"/>
    </xf>
    <xf numFmtId="10" fontId="32" fillId="0" borderId="15" xfId="151" applyNumberFormat="1" applyFont="1" applyBorder="1" applyAlignment="1">
      <alignment horizontal="center"/>
    </xf>
    <xf numFmtId="3" fontId="32" fillId="0" borderId="17" xfId="151" applyNumberFormat="1" applyFont="1" applyBorder="1" applyAlignment="1">
      <alignment horizontal="center"/>
    </xf>
    <xf numFmtId="3" fontId="32" fillId="0" borderId="18" xfId="151" applyNumberFormat="1" applyFont="1" applyBorder="1" applyAlignment="1">
      <alignment horizontal="center"/>
    </xf>
    <xf numFmtId="3" fontId="36" fillId="0" borderId="10" xfId="151" applyNumberFormat="1" applyFont="1" applyFill="1" applyBorder="1" applyAlignment="1">
      <alignment horizontal="right" wrapText="1"/>
    </xf>
    <xf numFmtId="3" fontId="37" fillId="0" borderId="0" xfId="151" applyNumberFormat="1" applyFont="1" applyFill="1" applyBorder="1" applyAlignment="1">
      <alignment horizontal="right" wrapText="1"/>
    </xf>
    <xf numFmtId="0" fontId="38" fillId="0" borderId="0" xfId="0" applyFont="1"/>
    <xf numFmtId="3" fontId="39" fillId="0" borderId="0" xfId="151" applyNumberFormat="1" applyFont="1"/>
    <xf numFmtId="3" fontId="36" fillId="0" borderId="10" xfId="151" applyNumberFormat="1" applyFont="1" applyBorder="1" applyAlignment="1">
      <alignment horizontal="right" wrapText="1"/>
    </xf>
    <xf numFmtId="3" fontId="36" fillId="24" borderId="10" xfId="151" applyNumberFormat="1" applyFont="1" applyFill="1" applyBorder="1" applyAlignment="1">
      <alignment horizontal="right"/>
    </xf>
    <xf numFmtId="3" fontId="36" fillId="24" borderId="10" xfId="151" applyNumberFormat="1" applyFont="1" applyFill="1" applyBorder="1" applyAlignment="1">
      <alignment horizontal="right" vertical="center"/>
    </xf>
    <xf numFmtId="3" fontId="37" fillId="0" borderId="0" xfId="151" applyNumberFormat="1" applyFont="1" applyFill="1" applyBorder="1" applyAlignment="1">
      <alignment horizontal="right" vertical="center"/>
    </xf>
    <xf numFmtId="0" fontId="36" fillId="24" borderId="14" xfId="151" applyFont="1" applyFill="1" applyBorder="1" applyAlignment="1">
      <alignment horizontal="justify" vertical="center" wrapText="1"/>
    </xf>
    <xf numFmtId="0" fontId="36" fillId="24" borderId="14" xfId="151" applyFont="1" applyFill="1" applyBorder="1" applyAlignment="1">
      <alignment horizontal="left" vertical="center"/>
    </xf>
    <xf numFmtId="0" fontId="36" fillId="24" borderId="14" xfId="151" applyFont="1" applyFill="1" applyBorder="1" applyAlignment="1">
      <alignment horizontal="left" wrapText="1"/>
    </xf>
    <xf numFmtId="0" fontId="36" fillId="0" borderId="14" xfId="151" applyFont="1" applyBorder="1" applyAlignment="1">
      <alignment horizontal="left" wrapText="1"/>
    </xf>
    <xf numFmtId="0" fontId="36" fillId="0" borderId="14" xfId="151" applyFont="1" applyBorder="1" applyAlignment="1">
      <alignment horizontal="left"/>
    </xf>
    <xf numFmtId="0" fontId="36" fillId="0" borderId="14" xfId="151" applyFont="1" applyBorder="1" applyAlignment="1">
      <alignment wrapText="1"/>
    </xf>
    <xf numFmtId="0" fontId="25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1" xfId="40" applyFont="1" applyBorder="1" applyAlignment="1">
      <alignment horizont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3" fillId="25" borderId="12" xfId="151" applyFont="1" applyFill="1" applyBorder="1" applyAlignment="1">
      <alignment horizontal="center" vertical="center"/>
    </xf>
    <xf numFmtId="0" fontId="33" fillId="25" borderId="13" xfId="151" applyFont="1" applyFill="1" applyBorder="1" applyAlignment="1">
      <alignment horizontal="center" vertical="center"/>
    </xf>
    <xf numFmtId="0" fontId="32" fillId="25" borderId="11" xfId="151" applyFont="1" applyFill="1" applyBorder="1" applyAlignment="1">
      <alignment horizontal="center"/>
    </xf>
    <xf numFmtId="0" fontId="32" fillId="25" borderId="12" xfId="151" applyFont="1" applyFill="1" applyBorder="1" applyAlignment="1">
      <alignment horizontal="center"/>
    </xf>
    <xf numFmtId="0" fontId="31" fillId="0" borderId="16" xfId="151" applyFont="1" applyBorder="1" applyAlignment="1">
      <alignment horizontal="left"/>
    </xf>
    <xf numFmtId="0" fontId="31" fillId="0" borderId="17" xfId="151" applyFont="1" applyBorder="1" applyAlignment="1">
      <alignment horizontal="left"/>
    </xf>
    <xf numFmtId="0" fontId="33" fillId="25" borderId="11" xfId="151" applyFont="1" applyFill="1" applyBorder="1" applyAlignment="1">
      <alignment horizontal="center" vertical="center" wrapText="1"/>
    </xf>
    <xf numFmtId="0" fontId="33" fillId="25" borderId="14" xfId="151" applyFont="1" applyFill="1" applyBorder="1" applyAlignment="1">
      <alignment horizontal="center" vertical="center" wrapText="1"/>
    </xf>
    <xf numFmtId="0" fontId="31" fillId="0" borderId="22" xfId="151" applyFont="1" applyBorder="1" applyAlignment="1">
      <alignment horizontal="left"/>
    </xf>
    <xf numFmtId="0" fontId="31" fillId="0" borderId="21" xfId="151" applyFont="1" applyBorder="1" applyAlignment="1">
      <alignment horizontal="left"/>
    </xf>
    <xf numFmtId="0" fontId="31" fillId="0" borderId="14" xfId="151" applyFont="1" applyBorder="1" applyAlignment="1">
      <alignment horizontal="left"/>
    </xf>
    <xf numFmtId="0" fontId="31" fillId="0" borderId="10" xfId="151" applyFont="1" applyBorder="1" applyAlignment="1">
      <alignment horizontal="left"/>
    </xf>
  </cellXfs>
  <cellStyles count="2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59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0.44770000000000004</c:v>
                </c:pt>
                <c:pt idx="1">
                  <c:v>0.46009999999999995</c:v>
                </c:pt>
                <c:pt idx="2">
                  <c:v>0.45996318241812234</c:v>
                </c:pt>
                <c:pt idx="3">
                  <c:v>0.45265216480212045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0.69779999999999998</c:v>
                </c:pt>
                <c:pt idx="1">
                  <c:v>0.71709999999999996</c:v>
                </c:pt>
                <c:pt idx="2">
                  <c:v>0.70750249728638481</c:v>
                </c:pt>
                <c:pt idx="3">
                  <c:v>0.71664408060870344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0.11779999999999999</c:v>
                </c:pt>
                <c:pt idx="1">
                  <c:v>0.12429999999999999</c:v>
                </c:pt>
                <c:pt idx="2">
                  <c:v>0.12791406348643214</c:v>
                </c:pt>
                <c:pt idx="3">
                  <c:v>0.12780251496116019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060928"/>
        <c:axId val="32097408"/>
        <c:axId val="0"/>
      </c:bar3DChart>
      <c:catAx>
        <c:axId val="320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2097408"/>
        <c:crosses val="autoZero"/>
        <c:auto val="1"/>
        <c:lblAlgn val="ctr"/>
        <c:lblOffset val="100"/>
        <c:noMultiLvlLbl val="0"/>
      </c:catAx>
      <c:valAx>
        <c:axId val="32097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206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51"/>
          <c:h val="0.60798122065728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577" l="0.70000000000000062" r="0.70000000000000062" t="0.750000000000005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Životno'!$B$22:$C$22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'HHI - Životno'!$D$22:$G$22</c:f>
              <c:numCache>
                <c:formatCode>0.00%</c:formatCode>
                <c:ptCount val="4"/>
                <c:pt idx="0">
                  <c:v>0.79892494812082082</c:v>
                </c:pt>
                <c:pt idx="1">
                  <c:v>0.78817390371175233</c:v>
                </c:pt>
                <c:pt idx="2">
                  <c:v>0.80354113362370461</c:v>
                </c:pt>
                <c:pt idx="3">
                  <c:v>0.79938569005801807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06336"/>
        <c:axId val="33408128"/>
      </c:barChart>
      <c:lineChart>
        <c:grouping val="standard"/>
        <c:varyColors val="0"/>
        <c:ser>
          <c:idx val="1"/>
          <c:order val="1"/>
          <c:tx>
            <c:strRef>
              <c:f>'HHI - Životno'!$B$23:$C$23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'HHI - Životno'!$D$23:$G$23</c:f>
              <c:numCache>
                <c:formatCode>#,##0</c:formatCode>
                <c:ptCount val="4"/>
                <c:pt idx="0">
                  <c:v>1838.2488007168054</c:v>
                </c:pt>
                <c:pt idx="1">
                  <c:v>1786.374596207608</c:v>
                </c:pt>
                <c:pt idx="2">
                  <c:v>1816.7916532546731</c:v>
                </c:pt>
                <c:pt idx="3">
                  <c:v>1789.7351681293824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5680"/>
        <c:axId val="43337216"/>
      </c:lineChart>
      <c:catAx>
        <c:axId val="334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408128"/>
        <c:crosses val="autoZero"/>
        <c:auto val="1"/>
        <c:lblAlgn val="ctr"/>
        <c:lblOffset val="100"/>
        <c:noMultiLvlLbl val="0"/>
      </c:catAx>
      <c:valAx>
        <c:axId val="33408128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406336"/>
        <c:crosses val="autoZero"/>
        <c:crossBetween val="between"/>
      </c:valAx>
      <c:catAx>
        <c:axId val="4333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337216"/>
        <c:crosses val="autoZero"/>
        <c:auto val="1"/>
        <c:lblAlgn val="ctr"/>
        <c:lblOffset val="100"/>
        <c:noMultiLvlLbl val="0"/>
      </c:catAx>
      <c:valAx>
        <c:axId val="43337216"/>
        <c:scaling>
          <c:orientation val="minMax"/>
          <c:max val="190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333568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121"/>
          <c:w val="0.8888906112246836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866" l="0.70000000000000062" r="0.70000000000000062" t="0.750000000000008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79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'HHI - Neživotno'!$D$36:$G$36</c:f>
              <c:numCache>
                <c:formatCode>0.00%</c:formatCode>
                <c:ptCount val="4"/>
                <c:pt idx="0">
                  <c:v>0.42049276576282596</c:v>
                </c:pt>
                <c:pt idx="1">
                  <c:v>0.42781843844584272</c:v>
                </c:pt>
                <c:pt idx="2">
                  <c:v>0.42545381333834464</c:v>
                </c:pt>
                <c:pt idx="3">
                  <c:v>0.41911138717981927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64384"/>
        <c:axId val="73840512"/>
      </c:barChart>
      <c:lineChart>
        <c:grouping val="stacked"/>
        <c:varyColors val="0"/>
        <c:ser>
          <c:idx val="1"/>
          <c:order val="1"/>
          <c:tx>
            <c:strRef>
              <c:f>'HHI - Neživotno'!$B$37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078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641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'HHI - Neživotno'!$D$37:$G$37</c:f>
              <c:numCache>
                <c:formatCode>#,##0</c:formatCode>
                <c:ptCount val="4"/>
                <c:pt idx="0">
                  <c:v>711.48776940845028</c:v>
                </c:pt>
                <c:pt idx="1">
                  <c:v>727.8758084597531</c:v>
                </c:pt>
                <c:pt idx="2">
                  <c:v>718.20012282883738</c:v>
                </c:pt>
                <c:pt idx="3">
                  <c:v>722.94424020402721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2048"/>
        <c:axId val="86924672"/>
      </c:lineChart>
      <c:catAx>
        <c:axId val="736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840512"/>
        <c:crossesAt val="0.35000000000000031"/>
        <c:auto val="1"/>
        <c:lblAlgn val="ctr"/>
        <c:lblOffset val="100"/>
        <c:noMultiLvlLbl val="0"/>
      </c:catAx>
      <c:valAx>
        <c:axId val="73840512"/>
        <c:scaling>
          <c:orientation val="minMax"/>
          <c:max val="0.55000000000000004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664384"/>
        <c:crosses val="autoZero"/>
        <c:crossBetween val="between"/>
      </c:valAx>
      <c:catAx>
        <c:axId val="7384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6924672"/>
        <c:crosses val="autoZero"/>
        <c:auto val="1"/>
        <c:lblAlgn val="ctr"/>
        <c:lblOffset val="100"/>
        <c:noMultiLvlLbl val="0"/>
      </c:catAx>
      <c:valAx>
        <c:axId val="86924672"/>
        <c:scaling>
          <c:orientation val="minMax"/>
          <c:max val="800"/>
          <c:min val="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84204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211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81" l="0.70000000000000062" r="0.70000000000000062" t="0.750000000000008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'HHI - Ukupno'!$D$36:$G$36</c:f>
              <c:numCache>
                <c:formatCode>0.00%</c:formatCode>
                <c:ptCount val="4"/>
                <c:pt idx="0">
                  <c:v>0.37815857123233604</c:v>
                </c:pt>
                <c:pt idx="1">
                  <c:v>0.38539307513204202</c:v>
                </c:pt>
                <c:pt idx="2">
                  <c:v>0.38198608980488336</c:v>
                </c:pt>
                <c:pt idx="3">
                  <c:v>0.38058227303103448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50720"/>
        <c:axId val="103179392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676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341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</c:strCache>
            </c:strRef>
          </c:cat>
          <c:val>
            <c:numRef>
              <c:f>'HHI - Ukupno'!$D$37:$G$37</c:f>
              <c:numCache>
                <c:formatCode>#,##0</c:formatCode>
                <c:ptCount val="4"/>
                <c:pt idx="0">
                  <c:v>622.68097521065704</c:v>
                </c:pt>
                <c:pt idx="1">
                  <c:v>643.02053062826383</c:v>
                </c:pt>
                <c:pt idx="2">
                  <c:v>636.76559576579291</c:v>
                </c:pt>
                <c:pt idx="3">
                  <c:v>640.61210821122734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928"/>
        <c:axId val="103514880"/>
      </c:lineChart>
      <c:catAx>
        <c:axId val="1031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3179392"/>
        <c:crossesAt val="0.30000000000000032"/>
        <c:auto val="1"/>
        <c:lblAlgn val="ctr"/>
        <c:lblOffset val="100"/>
        <c:noMultiLvlLbl val="0"/>
      </c:catAx>
      <c:valAx>
        <c:axId val="103179392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3150720"/>
        <c:crosses val="autoZero"/>
        <c:crossBetween val="between"/>
        <c:majorUnit val="0.05"/>
        <c:minorUnit val="1.0000000000000005E-2"/>
      </c:valAx>
      <c:catAx>
        <c:axId val="10318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514880"/>
        <c:crossesAt val="500"/>
        <c:auto val="1"/>
        <c:lblAlgn val="ctr"/>
        <c:lblOffset val="100"/>
        <c:noMultiLvlLbl val="0"/>
      </c:catAx>
      <c:valAx>
        <c:axId val="103514880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318092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505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81" l="0.70000000000000062" r="0.70000000000000062" t="0.750000000000008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6</xdr:col>
      <xdr:colOff>19051</xdr:colOff>
      <xdr:row>23</xdr:row>
      <xdr:rowOff>116733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25</xdr:row>
      <xdr:rowOff>9525</xdr:rowOff>
    </xdr:from>
    <xdr:to>
      <xdr:col>6</xdr:col>
      <xdr:colOff>38101</xdr:colOff>
      <xdr:row>43</xdr:row>
      <xdr:rowOff>142875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38</xdr:row>
      <xdr:rowOff>9525</xdr:rowOff>
    </xdr:from>
    <xdr:to>
      <xdr:col>6</xdr:col>
      <xdr:colOff>19051</xdr:colOff>
      <xdr:row>55</xdr:row>
      <xdr:rowOff>114300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9525</xdr:rowOff>
    </xdr:from>
    <xdr:to>
      <xdr:col>6</xdr:col>
      <xdr:colOff>19050</xdr:colOff>
      <xdr:row>55</xdr:row>
      <xdr:rowOff>114300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6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28.85546875" style="1" customWidth="1"/>
    <col min="3" max="3" width="10.85546875" style="1" customWidth="1"/>
    <col min="4" max="4" width="10.5703125" style="1" customWidth="1"/>
    <col min="5" max="5" width="11.5703125" style="1" customWidth="1"/>
    <col min="6" max="6" width="10.7109375" style="1" customWidth="1"/>
    <col min="7" max="16384" width="10.42578125" style="1"/>
  </cols>
  <sheetData>
    <row r="2" spans="2:6" ht="15.75" x14ac:dyDescent="0.25">
      <c r="B2" s="91" t="s">
        <v>49</v>
      </c>
      <c r="C2" s="92"/>
      <c r="D2" s="92"/>
      <c r="E2" s="92"/>
      <c r="F2" s="93"/>
    </row>
    <row r="3" spans="2:6" ht="16.5" thickBot="1" x14ac:dyDescent="0.3">
      <c r="B3" s="2"/>
      <c r="C3" s="3"/>
      <c r="D3" s="3"/>
    </row>
    <row r="4" spans="2:6" ht="26.25" customHeight="1" x14ac:dyDescent="0.2">
      <c r="B4" s="58" t="s">
        <v>30</v>
      </c>
      <c r="C4" s="59" t="s">
        <v>3</v>
      </c>
      <c r="D4" s="59" t="s">
        <v>4</v>
      </c>
      <c r="E4" s="59" t="s">
        <v>5</v>
      </c>
      <c r="F4" s="60" t="s">
        <v>37</v>
      </c>
    </row>
    <row r="5" spans="2:6" ht="15" x14ac:dyDescent="0.25">
      <c r="B5" s="61" t="s">
        <v>43</v>
      </c>
      <c r="C5" s="14">
        <v>0.44770000000000004</v>
      </c>
      <c r="D5" s="14">
        <v>0.46009999999999995</v>
      </c>
      <c r="E5" s="14">
        <f>SUM('HHI - Ukupno'!J6:J10)/100</f>
        <v>0.45996318241812234</v>
      </c>
      <c r="F5" s="62">
        <f>SUM('HHI - Ukupno'!M6:M10)/100</f>
        <v>0.45265216480212045</v>
      </c>
    </row>
    <row r="6" spans="2:6" ht="15" x14ac:dyDescent="0.25">
      <c r="B6" s="63" t="s">
        <v>44</v>
      </c>
      <c r="C6" s="14">
        <v>0.69779999999999998</v>
      </c>
      <c r="D6" s="14">
        <v>0.71709999999999996</v>
      </c>
      <c r="E6" s="14">
        <f>SUM('HHI - Ukupno'!J6:J15)/100</f>
        <v>0.70750249728638481</v>
      </c>
      <c r="F6" s="62">
        <f>SUM('HHI - Ukupno'!M6:M15)/100</f>
        <v>0.71664408060870344</v>
      </c>
    </row>
    <row r="7" spans="2:6" ht="15.75" thickBot="1" x14ac:dyDescent="0.3">
      <c r="B7" s="64" t="s">
        <v>29</v>
      </c>
      <c r="C7" s="65">
        <v>0.11779999999999999</v>
      </c>
      <c r="D7" s="65">
        <v>0.12429999999999999</v>
      </c>
      <c r="E7" s="65">
        <f>'HHI - Ukupno'!J6/100</f>
        <v>0.12791406348643214</v>
      </c>
      <c r="F7" s="66">
        <f>'HHI - Ukupno'!M6/100</f>
        <v>0.12780251496116019</v>
      </c>
    </row>
    <row r="26" spans="2:2" x14ac:dyDescent="0.2">
      <c r="B26" s="67"/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3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4" customWidth="1"/>
    <col min="2" max="2" width="29.42578125" style="4" customWidth="1"/>
    <col min="3" max="3" width="18" style="4" customWidth="1"/>
    <col min="4" max="4" width="7.85546875" style="4" customWidth="1"/>
    <col min="5" max="5" width="7.5703125" style="4" customWidth="1"/>
    <col min="6" max="6" width="17.85546875" style="4" customWidth="1"/>
    <col min="7" max="7" width="8.140625" style="4" customWidth="1"/>
    <col min="8" max="8" width="8.28515625" style="4" customWidth="1"/>
    <col min="9" max="9" width="17.7109375" style="4" customWidth="1"/>
    <col min="10" max="10" width="9" style="4" customWidth="1"/>
    <col min="11" max="11" width="8" style="4" customWidth="1"/>
    <col min="12" max="12" width="17.7109375" style="4" customWidth="1"/>
    <col min="13" max="13" width="8.28515625" style="4" customWidth="1"/>
    <col min="14" max="14" width="8.42578125" style="4" customWidth="1"/>
    <col min="15" max="15" width="8.28515625" style="4" bestFit="1" customWidth="1"/>
    <col min="16" max="16" width="7.28515625" style="4" bestFit="1" customWidth="1"/>
    <col min="17" max="17" width="6.140625" style="4" bestFit="1" customWidth="1"/>
    <col min="18" max="16384" width="10.42578125" style="4"/>
  </cols>
  <sheetData>
    <row r="1" spans="2:16" ht="15.75" customHeight="1" x14ac:dyDescent="0.2"/>
    <row r="2" spans="2:16" ht="15.75" x14ac:dyDescent="0.25">
      <c r="B2" s="94" t="s">
        <v>31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7"/>
    </row>
    <row r="3" spans="2:16" ht="16.5" thickBot="1" x14ac:dyDescent="0.3"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ht="15.75" x14ac:dyDescent="0.25">
      <c r="B4" s="103" t="s">
        <v>45</v>
      </c>
      <c r="C4" s="97" t="s">
        <v>3</v>
      </c>
      <c r="D4" s="97"/>
      <c r="E4" s="97"/>
      <c r="F4" s="97" t="s">
        <v>4</v>
      </c>
      <c r="G4" s="97"/>
      <c r="H4" s="97"/>
      <c r="I4" s="97" t="s">
        <v>5</v>
      </c>
      <c r="J4" s="97"/>
      <c r="K4" s="97"/>
      <c r="L4" s="97" t="s">
        <v>37</v>
      </c>
      <c r="M4" s="97"/>
      <c r="N4" s="98"/>
      <c r="O4" s="7"/>
    </row>
    <row r="5" spans="2:16" ht="39" customHeight="1" x14ac:dyDescent="0.25">
      <c r="B5" s="104"/>
      <c r="C5" s="16" t="s">
        <v>47</v>
      </c>
      <c r="D5" s="16" t="s">
        <v>2</v>
      </c>
      <c r="E5" s="17" t="s">
        <v>0</v>
      </c>
      <c r="F5" s="16" t="s">
        <v>47</v>
      </c>
      <c r="G5" s="16" t="s">
        <v>2</v>
      </c>
      <c r="H5" s="17" t="s">
        <v>0</v>
      </c>
      <c r="I5" s="16" t="s">
        <v>47</v>
      </c>
      <c r="J5" s="16" t="s">
        <v>2</v>
      </c>
      <c r="K5" s="17" t="s">
        <v>0</v>
      </c>
      <c r="L5" s="16" t="s">
        <v>47</v>
      </c>
      <c r="M5" s="16" t="s">
        <v>2</v>
      </c>
      <c r="N5" s="18" t="s">
        <v>0</v>
      </c>
      <c r="O5" s="7"/>
    </row>
    <row r="6" spans="2:16" ht="15.75" x14ac:dyDescent="0.25">
      <c r="B6" s="88" t="s">
        <v>7</v>
      </c>
      <c r="C6" s="19">
        <v>17703</v>
      </c>
      <c r="D6" s="20">
        <f t="shared" ref="D6:D13" si="0">C6/C$18*100</f>
        <v>25.511586350011527</v>
      </c>
      <c r="E6" s="21">
        <f>D6^2</f>
        <v>650.84103809409442</v>
      </c>
      <c r="F6" s="19">
        <v>19208</v>
      </c>
      <c r="G6" s="20">
        <f t="shared" ref="G6:G13" si="1">F6/F$18*100</f>
        <v>25.766295089004252</v>
      </c>
      <c r="H6" s="21">
        <f t="shared" ref="H6:H13" si="2">G6^2</f>
        <v>663.90196261364463</v>
      </c>
      <c r="I6" s="22">
        <f>20841827.39/1000</f>
        <v>20841.827390000002</v>
      </c>
      <c r="J6" s="20">
        <f t="shared" ref="J6:J15" si="3">I6/I$18*100</f>
        <v>26.032962227997636</v>
      </c>
      <c r="K6" s="21">
        <f t="shared" ref="K6:K13" si="4">J6^2</f>
        <v>677.7151223643516</v>
      </c>
      <c r="L6" s="77">
        <f>21857921.33/1000</f>
        <v>21857.921329999997</v>
      </c>
      <c r="M6" s="20">
        <f t="shared" ref="M6:M17" si="5">L6/L$18*100</f>
        <v>25.368705058561535</v>
      </c>
      <c r="N6" s="23">
        <f t="shared" ref="N6:N17" si="6">M6^2</f>
        <v>643.57119634828564</v>
      </c>
      <c r="O6" s="7"/>
    </row>
    <row r="7" spans="2:16" ht="15.75" x14ac:dyDescent="0.25">
      <c r="B7" s="88" t="s">
        <v>8</v>
      </c>
      <c r="C7" s="24">
        <v>12658</v>
      </c>
      <c r="D7" s="20">
        <f t="shared" si="0"/>
        <v>18.241295826608255</v>
      </c>
      <c r="E7" s="21">
        <f>D7^2</f>
        <v>332.74487343383572</v>
      </c>
      <c r="F7" s="19">
        <v>14126</v>
      </c>
      <c r="G7" s="20">
        <f t="shared" si="1"/>
        <v>18.949119347525723</v>
      </c>
      <c r="H7" s="21">
        <f>G7^2</f>
        <v>359.06912404677371</v>
      </c>
      <c r="I7" s="22">
        <f>17319857.02/1000</f>
        <v>17319.857019999999</v>
      </c>
      <c r="J7" s="20">
        <f t="shared" si="3"/>
        <v>21.633764408408702</v>
      </c>
      <c r="K7" s="21">
        <f>J7^2</f>
        <v>468.01976247853111</v>
      </c>
      <c r="L7" s="77">
        <f>18695902.21/1000</f>
        <v>18695.90221</v>
      </c>
      <c r="M7" s="20">
        <f t="shared" si="5"/>
        <v>21.698807576831864</v>
      </c>
      <c r="N7" s="23">
        <f>M7^2</f>
        <v>470.83825025637594</v>
      </c>
      <c r="O7" s="7"/>
      <c r="P7" s="6" t="s">
        <v>1</v>
      </c>
    </row>
    <row r="8" spans="2:16" ht="15.75" x14ac:dyDescent="0.25">
      <c r="B8" s="88" t="s">
        <v>9</v>
      </c>
      <c r="C8" s="19">
        <v>17148</v>
      </c>
      <c r="D8" s="20">
        <f t="shared" si="0"/>
        <v>24.711782338021674</v>
      </c>
      <c r="E8" s="21">
        <f t="shared" ref="E8:E13" si="7">D8^2</f>
        <v>610.67218632175991</v>
      </c>
      <c r="F8" s="19">
        <v>16870</v>
      </c>
      <c r="G8" s="20">
        <f t="shared" si="1"/>
        <v>22.630018645954898</v>
      </c>
      <c r="H8" s="21">
        <f t="shared" si="2"/>
        <v>512.11774391626636</v>
      </c>
      <c r="I8" s="22">
        <f>16739990.19/1000</f>
        <v>16739.99019</v>
      </c>
      <c r="J8" s="20">
        <f t="shared" si="3"/>
        <v>20.909468452963754</v>
      </c>
      <c r="K8" s="21">
        <f t="shared" si="4"/>
        <v>437.20587098548646</v>
      </c>
      <c r="L8" s="77">
        <f>18067038.69/1000</f>
        <v>18067.038690000001</v>
      </c>
      <c r="M8" s="20">
        <f t="shared" si="5"/>
        <v>20.968937022349053</v>
      </c>
      <c r="N8" s="23">
        <f t="shared" si="6"/>
        <v>439.69631984724077</v>
      </c>
      <c r="O8" s="7"/>
    </row>
    <row r="9" spans="2:16" ht="15.75" x14ac:dyDescent="0.25">
      <c r="B9" s="89" t="s">
        <v>10</v>
      </c>
      <c r="C9" s="24">
        <v>7930</v>
      </c>
      <c r="D9" s="20">
        <f t="shared" si="0"/>
        <v>11.427830297440627</v>
      </c>
      <c r="E9" s="21">
        <f t="shared" si="7"/>
        <v>130.59530530710194</v>
      </c>
      <c r="F9" s="19">
        <v>8552</v>
      </c>
      <c r="G9" s="20">
        <f t="shared" si="1"/>
        <v>11.471957288690357</v>
      </c>
      <c r="H9" s="21">
        <f t="shared" si="2"/>
        <v>131.6058040335358</v>
      </c>
      <c r="I9" s="22">
        <f>9429328/1000</f>
        <v>9429.3279999999995</v>
      </c>
      <c r="J9" s="20">
        <f t="shared" si="3"/>
        <v>11.777918273000362</v>
      </c>
      <c r="K9" s="21">
        <f t="shared" si="4"/>
        <v>138.71935884547582</v>
      </c>
      <c r="L9" s="77">
        <f>10254981/1000</f>
        <v>10254.981</v>
      </c>
      <c r="M9" s="20">
        <f t="shared" si="5"/>
        <v>11.902119348059363</v>
      </c>
      <c r="N9" s="23">
        <f t="shared" si="6"/>
        <v>141.66044497544905</v>
      </c>
      <c r="O9" s="7"/>
    </row>
    <row r="10" spans="2:16" ht="15.75" x14ac:dyDescent="0.25">
      <c r="B10" s="88" t="s">
        <v>11</v>
      </c>
      <c r="C10" s="19">
        <v>6333</v>
      </c>
      <c r="D10" s="25">
        <f t="shared" si="0"/>
        <v>9.126412266543694</v>
      </c>
      <c r="E10" s="21">
        <f t="shared" si="7"/>
        <v>83.291400858919204</v>
      </c>
      <c r="F10" s="19">
        <v>6504</v>
      </c>
      <c r="G10" s="25">
        <f t="shared" si="1"/>
        <v>8.7246971709123109</v>
      </c>
      <c r="H10" s="21">
        <f t="shared" si="2"/>
        <v>76.120340724125285</v>
      </c>
      <c r="I10" s="22">
        <f>5813182.08/1000</f>
        <v>5813.1820800000005</v>
      </c>
      <c r="J10" s="25">
        <f t="shared" si="3"/>
        <v>7.2610883240364812</v>
      </c>
      <c r="K10" s="21">
        <f t="shared" si="4"/>
        <v>52.723403649458916</v>
      </c>
      <c r="L10" s="77">
        <f>5717085.62/1000</f>
        <v>5717.0856199999998</v>
      </c>
      <c r="M10" s="25">
        <f t="shared" si="5"/>
        <v>6.6353546020527938</v>
      </c>
      <c r="N10" s="23">
        <f t="shared" si="6"/>
        <v>44.027930694983191</v>
      </c>
      <c r="O10" s="7"/>
    </row>
    <row r="11" spans="2:16" ht="15.75" x14ac:dyDescent="0.25">
      <c r="B11" s="88" t="s">
        <v>12</v>
      </c>
      <c r="C11" s="24">
        <v>2140</v>
      </c>
      <c r="D11" s="25">
        <f t="shared" si="0"/>
        <v>3.0839289831680885</v>
      </c>
      <c r="E11" s="21">
        <f t="shared" si="7"/>
        <v>9.5106179732241607</v>
      </c>
      <c r="F11" s="19">
        <v>3110</v>
      </c>
      <c r="G11" s="25">
        <f t="shared" si="1"/>
        <v>4.1718647296336533</v>
      </c>
      <c r="H11" s="21">
        <f t="shared" si="2"/>
        <v>17.404455322361276</v>
      </c>
      <c r="I11" s="26">
        <f>3703971.64/1000</f>
        <v>3703.9716400000002</v>
      </c>
      <c r="J11" s="25">
        <f t="shared" si="3"/>
        <v>4.6265306776295319</v>
      </c>
      <c r="K11" s="21">
        <f t="shared" si="4"/>
        <v>21.404786111047176</v>
      </c>
      <c r="L11" s="77">
        <f>4489488.7/1000</f>
        <v>4489.4886999999999</v>
      </c>
      <c r="M11" s="25">
        <f t="shared" si="5"/>
        <v>5.2105830638948891</v>
      </c>
      <c r="N11" s="23">
        <f t="shared" si="6"/>
        <v>27.150175865748249</v>
      </c>
      <c r="O11" s="7"/>
    </row>
    <row r="12" spans="2:16" ht="15.75" x14ac:dyDescent="0.25">
      <c r="B12" s="88" t="s">
        <v>42</v>
      </c>
      <c r="C12" s="24">
        <v>2491</v>
      </c>
      <c r="D12" s="25">
        <f t="shared" si="0"/>
        <v>3.5897509799400504</v>
      </c>
      <c r="E12" s="21">
        <f t="shared" si="7"/>
        <v>12.886312097980552</v>
      </c>
      <c r="F12" s="19">
        <v>2818</v>
      </c>
      <c r="G12" s="25">
        <f t="shared" si="1"/>
        <v>3.7801655331535811</v>
      </c>
      <c r="H12" s="21">
        <f t="shared" si="2"/>
        <v>14.289651458042298</v>
      </c>
      <c r="I12" s="26">
        <f>2894559.77/1000</f>
        <v>2894.5597699999998</v>
      </c>
      <c r="J12" s="25">
        <f t="shared" si="3"/>
        <v>3.6155162284496543</v>
      </c>
      <c r="K12" s="21">
        <f t="shared" si="4"/>
        <v>13.071957598182813</v>
      </c>
      <c r="L12" s="77">
        <f>3112971.76/1000</f>
        <v>3112.9717599999999</v>
      </c>
      <c r="M12" s="25">
        <f t="shared" si="5"/>
        <v>3.6129722146397349</v>
      </c>
      <c r="N12" s="23">
        <f t="shared" si="6"/>
        <v>13.05356822375875</v>
      </c>
      <c r="O12" s="7"/>
    </row>
    <row r="13" spans="2:16" ht="15.75" x14ac:dyDescent="0.25">
      <c r="B13" s="88" t="s">
        <v>33</v>
      </c>
      <c r="C13" s="24">
        <v>1533</v>
      </c>
      <c r="D13" s="25">
        <f t="shared" si="0"/>
        <v>2.2091883790638689</v>
      </c>
      <c r="E13" s="21">
        <f t="shared" si="7"/>
        <v>4.8805132941908447</v>
      </c>
      <c r="F13" s="19">
        <v>2545</v>
      </c>
      <c r="G13" s="25">
        <f t="shared" si="1"/>
        <v>3.4139536131568002</v>
      </c>
      <c r="H13" s="21">
        <f t="shared" si="2"/>
        <v>11.655079272786372</v>
      </c>
      <c r="I13" s="26">
        <f>2244605/1000</f>
        <v>2244.605</v>
      </c>
      <c r="J13" s="25">
        <f t="shared" si="3"/>
        <v>2.8036753250250683</v>
      </c>
      <c r="K13" s="21">
        <f t="shared" si="4"/>
        <v>7.8605953281544227</v>
      </c>
      <c r="L13" s="77">
        <f>2515249/1000</f>
        <v>2515.2489999999998</v>
      </c>
      <c r="M13" s="25">
        <f t="shared" si="5"/>
        <v>2.9192441983156248</v>
      </c>
      <c r="N13" s="23">
        <f t="shared" si="6"/>
        <v>8.5219866893994354</v>
      </c>
      <c r="O13" s="7"/>
    </row>
    <row r="14" spans="2:16" ht="15.75" x14ac:dyDescent="0.25">
      <c r="B14" s="90" t="s">
        <v>13</v>
      </c>
      <c r="C14" s="27" t="s">
        <v>53</v>
      </c>
      <c r="D14" s="25" t="s">
        <v>53</v>
      </c>
      <c r="E14" s="21" t="s">
        <v>53</v>
      </c>
      <c r="F14" s="28">
        <v>297</v>
      </c>
      <c r="G14" s="25">
        <v>0.4</v>
      </c>
      <c r="H14" s="21">
        <v>0</v>
      </c>
      <c r="I14" s="26">
        <f>565615/1000</f>
        <v>565.61500000000001</v>
      </c>
      <c r="J14" s="25">
        <f t="shared" si="3"/>
        <v>0.70649438050973512</v>
      </c>
      <c r="K14" s="21">
        <v>0</v>
      </c>
      <c r="L14" s="81">
        <f>777302/1000</f>
        <v>777.30200000000002</v>
      </c>
      <c r="M14" s="25">
        <f t="shared" si="5"/>
        <v>0.90215098140944761</v>
      </c>
      <c r="N14" s="23">
        <f t="shared" si="6"/>
        <v>0.81387639325802952</v>
      </c>
      <c r="O14" s="7"/>
    </row>
    <row r="15" spans="2:16" ht="15.75" x14ac:dyDescent="0.25">
      <c r="B15" s="88" t="s">
        <v>14</v>
      </c>
      <c r="C15" s="27" t="s">
        <v>53</v>
      </c>
      <c r="D15" s="29" t="s">
        <v>53</v>
      </c>
      <c r="E15" s="21" t="s">
        <v>53</v>
      </c>
      <c r="F15" s="27">
        <v>65</v>
      </c>
      <c r="G15" s="25">
        <v>0.09</v>
      </c>
      <c r="H15" s="27">
        <v>0</v>
      </c>
      <c r="I15" s="26">
        <f>293423/1000</f>
        <v>293.423</v>
      </c>
      <c r="J15" s="25">
        <f t="shared" si="3"/>
        <v>0.36650672385334199</v>
      </c>
      <c r="K15" s="27">
        <v>0</v>
      </c>
      <c r="L15" s="81">
        <f>525616/1000</f>
        <v>525.61599999999999</v>
      </c>
      <c r="M15" s="25">
        <f t="shared" si="5"/>
        <v>0.61003958595823526</v>
      </c>
      <c r="N15" s="23">
        <f>M15^2</f>
        <v>0.37214829643609509</v>
      </c>
      <c r="O15" s="7"/>
    </row>
    <row r="16" spans="2:16" ht="15.75" x14ac:dyDescent="0.25">
      <c r="B16" s="90" t="s">
        <v>38</v>
      </c>
      <c r="C16" s="27">
        <v>340</v>
      </c>
      <c r="D16" s="25">
        <f>C16/C$18*100</f>
        <v>0.48997002536315426</v>
      </c>
      <c r="E16" s="21">
        <f>D16^2</f>
        <v>0.24007062575437002</v>
      </c>
      <c r="F16" s="28">
        <v>312</v>
      </c>
      <c r="G16" s="25">
        <f>F16/F$18*100</f>
        <v>0.41852790856774919</v>
      </c>
      <c r="H16" s="21">
        <f>G16^2</f>
        <v>0.17516561025009422</v>
      </c>
      <c r="I16" s="26">
        <f>213017.97/1000</f>
        <v>213.01796999999999</v>
      </c>
      <c r="J16" s="25">
        <f>I16/I$18*100</f>
        <v>0.2660749781257416</v>
      </c>
      <c r="K16" s="21">
        <f>J16^2</f>
        <v>7.0795893984613875E-2</v>
      </c>
      <c r="L16" s="77">
        <f>147409.65/1000</f>
        <v>147.40965</v>
      </c>
      <c r="M16" s="25">
        <f t="shared" si="5"/>
        <v>0.17108634792747632</v>
      </c>
      <c r="N16" s="23">
        <f>M16^2</f>
        <v>2.927053844716148E-2</v>
      </c>
      <c r="O16" s="7"/>
    </row>
    <row r="17" spans="2:15" ht="15.75" x14ac:dyDescent="0.25">
      <c r="B17" s="88" t="s">
        <v>15</v>
      </c>
      <c r="C17" s="24">
        <v>1116</v>
      </c>
      <c r="D17" s="25">
        <f>C17/C$18*100</f>
        <v>1.6082545538390594</v>
      </c>
      <c r="E17" s="21">
        <f>D17^2</f>
        <v>2.5864827099440717</v>
      </c>
      <c r="F17" s="19">
        <v>140</v>
      </c>
      <c r="G17" s="25">
        <f>F17/F$18*100</f>
        <v>0.18780098461373362</v>
      </c>
      <c r="H17" s="21">
        <f>G17^2</f>
        <v>3.5269209821887811E-2</v>
      </c>
      <c r="I17" s="26">
        <v>0</v>
      </c>
      <c r="J17" s="25">
        <f>I17/I$18*100</f>
        <v>0</v>
      </c>
      <c r="K17" s="21">
        <f>J17^2</f>
        <v>0</v>
      </c>
      <c r="L17" s="77">
        <v>0</v>
      </c>
      <c r="M17" s="25">
        <f t="shared" si="5"/>
        <v>0</v>
      </c>
      <c r="N17" s="23">
        <f t="shared" si="6"/>
        <v>0</v>
      </c>
      <c r="O17" s="7"/>
    </row>
    <row r="18" spans="2:15" ht="16.5" thickBot="1" x14ac:dyDescent="0.3">
      <c r="B18" s="30" t="s">
        <v>6</v>
      </c>
      <c r="C18" s="31">
        <f t="shared" ref="C18:N18" si="8">SUM(C6:C17)</f>
        <v>69392</v>
      </c>
      <c r="D18" s="32">
        <f t="shared" si="8"/>
        <v>100</v>
      </c>
      <c r="E18" s="31">
        <f t="shared" si="8"/>
        <v>1838.2488007168054</v>
      </c>
      <c r="F18" s="31">
        <f t="shared" si="8"/>
        <v>74547</v>
      </c>
      <c r="G18" s="32">
        <f>SUM(G6:G17)</f>
        <v>100.00440031121308</v>
      </c>
      <c r="H18" s="31">
        <f t="shared" si="8"/>
        <v>1786.374596207608</v>
      </c>
      <c r="I18" s="31">
        <f t="shared" si="8"/>
        <v>80059.377059999999</v>
      </c>
      <c r="J18" s="32">
        <f t="shared" si="8"/>
        <v>100.00000000000001</v>
      </c>
      <c r="K18" s="31">
        <f t="shared" si="8"/>
        <v>1816.7916532546731</v>
      </c>
      <c r="L18" s="31">
        <f t="shared" si="8"/>
        <v>86160.965959999987</v>
      </c>
      <c r="M18" s="32">
        <f t="shared" si="8"/>
        <v>100.00000000000001</v>
      </c>
      <c r="N18" s="71">
        <f t="shared" si="8"/>
        <v>1789.7351681293824</v>
      </c>
      <c r="O18" s="7"/>
    </row>
    <row r="19" spans="2:15" ht="15.75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15" ht="16.5" thickBot="1" x14ac:dyDescent="0.3">
      <c r="B20" s="8"/>
      <c r="C20" s="7"/>
      <c r="D20" s="7"/>
      <c r="E20" s="7"/>
      <c r="F20" s="7"/>
      <c r="G20" s="7"/>
      <c r="H20" s="7"/>
      <c r="I20" s="7"/>
      <c r="J20" s="7"/>
      <c r="K20" s="7"/>
      <c r="L20" s="78"/>
      <c r="M20" s="7"/>
      <c r="N20" s="7"/>
      <c r="O20" s="7"/>
    </row>
    <row r="21" spans="2:15" ht="15.75" x14ac:dyDescent="0.25">
      <c r="B21" s="99"/>
      <c r="C21" s="100"/>
      <c r="D21" s="72" t="s">
        <v>3</v>
      </c>
      <c r="E21" s="72" t="s">
        <v>4</v>
      </c>
      <c r="F21" s="72" t="s">
        <v>5</v>
      </c>
      <c r="G21" s="73" t="s">
        <v>37</v>
      </c>
      <c r="H21" s="7"/>
      <c r="I21" s="68" t="s">
        <v>50</v>
      </c>
      <c r="J21" s="7"/>
      <c r="K21" s="7"/>
      <c r="L21" s="78"/>
      <c r="M21" s="7"/>
      <c r="N21" s="7"/>
      <c r="O21" s="7"/>
    </row>
    <row r="22" spans="2:15" ht="15.75" x14ac:dyDescent="0.25">
      <c r="B22" s="105" t="s">
        <v>32</v>
      </c>
      <c r="C22" s="106"/>
      <c r="D22" s="33">
        <f>(D6+D8+D7+D9)/100</f>
        <v>0.79892494812082082</v>
      </c>
      <c r="E22" s="33">
        <f>(G6+G8+G7+G9)/100</f>
        <v>0.78817390371175233</v>
      </c>
      <c r="F22" s="33">
        <f>(J6+J8+J7+J9)/100</f>
        <v>0.80354113362370461</v>
      </c>
      <c r="G22" s="74">
        <f>(M6+M8+M7+M9)/100</f>
        <v>0.79938569005801807</v>
      </c>
      <c r="H22" s="7"/>
      <c r="I22" s="79" t="s">
        <v>46</v>
      </c>
      <c r="J22" s="7"/>
      <c r="K22" s="7"/>
      <c r="L22" s="9"/>
      <c r="M22" s="7"/>
      <c r="N22" s="7"/>
      <c r="O22" s="7"/>
    </row>
    <row r="23" spans="2:15" ht="16.5" thickBot="1" x14ac:dyDescent="0.3">
      <c r="B23" s="101" t="s">
        <v>0</v>
      </c>
      <c r="C23" s="102"/>
      <c r="D23" s="75">
        <f>E18</f>
        <v>1838.2488007168054</v>
      </c>
      <c r="E23" s="75">
        <f>H18</f>
        <v>1786.374596207608</v>
      </c>
      <c r="F23" s="75">
        <f>K18</f>
        <v>1816.7916532546731</v>
      </c>
      <c r="G23" s="76">
        <f>N18</f>
        <v>1789.7351681293824</v>
      </c>
      <c r="H23" s="7"/>
      <c r="J23" s="7"/>
      <c r="K23" s="7"/>
      <c r="L23" s="7"/>
      <c r="M23" s="7"/>
      <c r="N23" s="7"/>
      <c r="O23" s="7"/>
    </row>
    <row r="27" spans="2:15" x14ac:dyDescent="0.2">
      <c r="F27" s="12"/>
    </row>
    <row r="28" spans="2:15" x14ac:dyDescent="0.2">
      <c r="F28" s="12"/>
    </row>
    <row r="29" spans="2:15" x14ac:dyDescent="0.2">
      <c r="F29" s="12"/>
    </row>
    <row r="30" spans="2:15" x14ac:dyDescent="0.2">
      <c r="F30" s="12"/>
    </row>
    <row r="31" spans="2:15" x14ac:dyDescent="0.2">
      <c r="F31" s="12"/>
    </row>
    <row r="32" spans="2:15" x14ac:dyDescent="0.2">
      <c r="F32" s="12"/>
    </row>
    <row r="33" spans="6:6" x14ac:dyDescent="0.2">
      <c r="F33" s="13"/>
    </row>
  </sheetData>
  <mergeCells count="9">
    <mergeCell ref="B2:N2"/>
    <mergeCell ref="L4:N4"/>
    <mergeCell ref="B21:C21"/>
    <mergeCell ref="B23:C23"/>
    <mergeCell ref="B4:B5"/>
    <mergeCell ref="C4:E4"/>
    <mergeCell ref="F4:H4"/>
    <mergeCell ref="I4:K4"/>
    <mergeCell ref="B22:C2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6" orientation="landscape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7" customWidth="1"/>
    <col min="2" max="2" width="29.42578125" style="7" customWidth="1"/>
    <col min="3" max="3" width="17.7109375" style="7" customWidth="1"/>
    <col min="4" max="4" width="9.28515625" style="7" customWidth="1"/>
    <col min="5" max="5" width="8.4257812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28515625" style="7" customWidth="1"/>
    <col min="11" max="11" width="7.85546875" style="7" customWidth="1"/>
    <col min="12" max="12" width="17.7109375" style="7" customWidth="1"/>
    <col min="13" max="13" width="8.5703125" style="7" customWidth="1"/>
    <col min="14" max="14" width="8.42578125" style="7" customWidth="1"/>
    <col min="15" max="15" width="8.42578125" style="7" bestFit="1" customWidth="1"/>
    <col min="16" max="16" width="7.28515625" style="7" bestFit="1" customWidth="1"/>
    <col min="17" max="17" width="4.5703125" style="7" bestFit="1" customWidth="1"/>
    <col min="18" max="16384" width="10.42578125" style="7"/>
  </cols>
  <sheetData>
    <row r="1" spans="2:14" ht="15.75" customHeight="1" x14ac:dyDescent="0.25"/>
    <row r="2" spans="2:14" x14ac:dyDescent="0.25">
      <c r="B2" s="94" t="s">
        <v>34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2:14" ht="16.5" thickBot="1" x14ac:dyDescent="0.3">
      <c r="B3" s="5"/>
    </row>
    <row r="4" spans="2:14" x14ac:dyDescent="0.25">
      <c r="B4" s="103" t="s">
        <v>45</v>
      </c>
      <c r="C4" s="97" t="s">
        <v>3</v>
      </c>
      <c r="D4" s="97"/>
      <c r="E4" s="97"/>
      <c r="F4" s="97" t="s">
        <v>4</v>
      </c>
      <c r="G4" s="97"/>
      <c r="H4" s="97"/>
      <c r="I4" s="97" t="s">
        <v>5</v>
      </c>
      <c r="J4" s="97"/>
      <c r="K4" s="97"/>
      <c r="L4" s="97" t="s">
        <v>37</v>
      </c>
      <c r="M4" s="97"/>
      <c r="N4" s="98"/>
    </row>
    <row r="5" spans="2:14" ht="42" customHeight="1" x14ac:dyDescent="0.25">
      <c r="B5" s="104"/>
      <c r="C5" s="16" t="s">
        <v>47</v>
      </c>
      <c r="D5" s="16" t="s">
        <v>2</v>
      </c>
      <c r="E5" s="17" t="s">
        <v>0</v>
      </c>
      <c r="F5" s="16" t="s">
        <v>47</v>
      </c>
      <c r="G5" s="16" t="s">
        <v>2</v>
      </c>
      <c r="H5" s="17" t="s">
        <v>0</v>
      </c>
      <c r="I5" s="16" t="s">
        <v>47</v>
      </c>
      <c r="J5" s="16" t="s">
        <v>2</v>
      </c>
      <c r="K5" s="17" t="s">
        <v>0</v>
      </c>
      <c r="L5" s="16" t="s">
        <v>47</v>
      </c>
      <c r="M5" s="16" t="s">
        <v>2</v>
      </c>
      <c r="N5" s="18" t="s">
        <v>0</v>
      </c>
    </row>
    <row r="6" spans="2:14" x14ac:dyDescent="0.25">
      <c r="B6" s="70" t="s">
        <v>42</v>
      </c>
      <c r="C6" s="36">
        <v>51528</v>
      </c>
      <c r="D6" s="20">
        <f t="shared" ref="D6:D31" si="0">C6/C$32*100</f>
        <v>13.239771731617639</v>
      </c>
      <c r="E6" s="35">
        <f t="shared" ref="E6:E26" si="1">D6^2</f>
        <v>175.29155550534153</v>
      </c>
      <c r="F6" s="36">
        <v>55835</v>
      </c>
      <c r="G6" s="20">
        <f t="shared" ref="G6:G31" si="2">F6/F$32*100</f>
        <v>14.047848478977917</v>
      </c>
      <c r="H6" s="35">
        <f>G6^2</f>
        <v>197.34204688832219</v>
      </c>
      <c r="I6" s="37">
        <f>59541809/1000</f>
        <v>59541.809000000001</v>
      </c>
      <c r="J6" s="20">
        <f t="shared" ref="J6:J31" si="3">I6/I$32*100</f>
        <v>14.59170438726577</v>
      </c>
      <c r="K6" s="35">
        <f>J6^2</f>
        <v>212.91783692535111</v>
      </c>
      <c r="L6" s="77">
        <f>61439147.48/1000</f>
        <v>61439.14748</v>
      </c>
      <c r="M6" s="20">
        <f t="shared" ref="M6:M31" si="4">L6/L$32*100</f>
        <v>14.66566992120358</v>
      </c>
      <c r="N6" s="38">
        <f>M6^2</f>
        <v>215.08187423769544</v>
      </c>
    </row>
    <row r="7" spans="2:14" x14ac:dyDescent="0.25">
      <c r="B7" s="70" t="s">
        <v>16</v>
      </c>
      <c r="C7" s="36">
        <v>36809</v>
      </c>
      <c r="D7" s="20">
        <f t="shared" si="0"/>
        <v>9.457824050401987</v>
      </c>
      <c r="E7" s="35">
        <f>D7^2</f>
        <v>89.450435768362254</v>
      </c>
      <c r="F7" s="36">
        <v>38874</v>
      </c>
      <c r="G7" s="20">
        <f t="shared" si="2"/>
        <v>9.7805330307475167</v>
      </c>
      <c r="H7" s="35">
        <f>G7^2</f>
        <v>95.658826365543206</v>
      </c>
      <c r="I7" s="37">
        <f>40512108/1000</f>
        <v>40512.108</v>
      </c>
      <c r="J7" s="20">
        <f t="shared" si="3"/>
        <v>9.9281616391766772</v>
      </c>
      <c r="K7" s="35">
        <f>J7^2</f>
        <v>98.568393533619329</v>
      </c>
      <c r="L7" s="77">
        <f>41999219.41/1000</f>
        <v>41999.219409999998</v>
      </c>
      <c r="M7" s="20">
        <f t="shared" si="4"/>
        <v>10.025313079348519</v>
      </c>
      <c r="N7" s="38">
        <f>M7^2</f>
        <v>100.50690233895649</v>
      </c>
    </row>
    <row r="8" spans="2:14" x14ac:dyDescent="0.25">
      <c r="B8" s="70" t="s">
        <v>33</v>
      </c>
      <c r="C8" s="36">
        <v>45981</v>
      </c>
      <c r="D8" s="20">
        <f t="shared" si="0"/>
        <v>11.81450752972191</v>
      </c>
      <c r="E8" s="35">
        <f t="shared" si="1"/>
        <v>139.58258816985571</v>
      </c>
      <c r="F8" s="36">
        <v>44011</v>
      </c>
      <c r="G8" s="20">
        <f t="shared" si="2"/>
        <v>11.072980378047768</v>
      </c>
      <c r="H8" s="35">
        <f t="shared" ref="H8:H31" si="5">G8^2</f>
        <v>122.6108944526309</v>
      </c>
      <c r="I8" s="37">
        <f>41305199/1000</f>
        <v>41305.199000000001</v>
      </c>
      <c r="J8" s="20">
        <f t="shared" si="3"/>
        <v>10.122521696732218</v>
      </c>
      <c r="K8" s="35">
        <f t="shared" ref="K8:K31" si="6">J8^2</f>
        <v>102.4654455008145</v>
      </c>
      <c r="L8" s="77">
        <f>41455807.83/1000</f>
        <v>41455.807829999998</v>
      </c>
      <c r="M8" s="20">
        <f t="shared" si="4"/>
        <v>9.895599449024564</v>
      </c>
      <c r="N8" s="38">
        <f t="shared" ref="N8:N31" si="7">M8^2</f>
        <v>97.922888455535258</v>
      </c>
    </row>
    <row r="9" spans="2:14" x14ac:dyDescent="0.25">
      <c r="B9" s="70" t="s">
        <v>11</v>
      </c>
      <c r="C9" s="34">
        <v>28761</v>
      </c>
      <c r="D9" s="39">
        <f t="shared" si="0"/>
        <v>7.3899447828958023</v>
      </c>
      <c r="E9" s="35">
        <f t="shared" si="1"/>
        <v>54.611283894248885</v>
      </c>
      <c r="F9" s="36">
        <v>31322</v>
      </c>
      <c r="G9" s="20">
        <f t="shared" si="2"/>
        <v>7.8804819568110736</v>
      </c>
      <c r="H9" s="35">
        <f t="shared" si="5"/>
        <v>62.101995871624887</v>
      </c>
      <c r="I9" s="37">
        <f>32248360/1000</f>
        <v>32248.36</v>
      </c>
      <c r="J9" s="20">
        <f t="shared" si="3"/>
        <v>7.902993610659796</v>
      </c>
      <c r="K9" s="35">
        <f t="shared" si="6"/>
        <v>62.457308010129559</v>
      </c>
      <c r="L9" s="77">
        <f>30684891.67/1000</f>
        <v>30684.891670000001</v>
      </c>
      <c r="M9" s="20">
        <f t="shared" si="4"/>
        <v>7.3245562684052619</v>
      </c>
      <c r="N9" s="38">
        <f t="shared" si="7"/>
        <v>53.649124529034815</v>
      </c>
    </row>
    <row r="10" spans="2:14" x14ac:dyDescent="0.25">
      <c r="B10" s="87" t="s">
        <v>13</v>
      </c>
      <c r="C10" s="36">
        <v>22161</v>
      </c>
      <c r="D10" s="39">
        <f t="shared" si="0"/>
        <v>5.6941193398614045</v>
      </c>
      <c r="E10" s="35">
        <f>D10^2</f>
        <v>32.42299505658368</v>
      </c>
      <c r="F10" s="36">
        <v>24165</v>
      </c>
      <c r="G10" s="39">
        <f t="shared" si="2"/>
        <v>6.0798112025521869</v>
      </c>
      <c r="H10" s="35">
        <f>G10^2</f>
        <v>36.964104258679072</v>
      </c>
      <c r="I10" s="36">
        <f>23882905/1000</f>
        <v>23882.904999999999</v>
      </c>
      <c r="J10" s="25">
        <f t="shared" si="3"/>
        <v>5.8529006008055875</v>
      </c>
      <c r="K10" s="35">
        <f>J10^2</f>
        <v>34.256445442910405</v>
      </c>
      <c r="L10" s="82">
        <f>29986645/1000</f>
        <v>29986.645</v>
      </c>
      <c r="M10" s="39">
        <f t="shared" si="4"/>
        <v>7.15788313562566</v>
      </c>
      <c r="N10" s="38">
        <f>M10^2</f>
        <v>51.235290983274233</v>
      </c>
    </row>
    <row r="11" spans="2:14" x14ac:dyDescent="0.25">
      <c r="B11" s="70" t="s">
        <v>12</v>
      </c>
      <c r="C11" s="34">
        <v>29334</v>
      </c>
      <c r="D11" s="20">
        <f t="shared" si="0"/>
        <v>7.5371732645410612</v>
      </c>
      <c r="E11" s="35">
        <f t="shared" si="1"/>
        <v>56.808980819712559</v>
      </c>
      <c r="F11" s="36">
        <v>28698</v>
      </c>
      <c r="G11" s="39">
        <f t="shared" si="2"/>
        <v>7.2202947192568869</v>
      </c>
      <c r="H11" s="35">
        <f t="shared" si="5"/>
        <v>52.13265583292889</v>
      </c>
      <c r="I11" s="37">
        <f>26940926/1000</f>
        <v>26940.925999999999</v>
      </c>
      <c r="J11" s="25">
        <f t="shared" si="3"/>
        <v>6.6023191890458426</v>
      </c>
      <c r="K11" s="35">
        <f t="shared" si="6"/>
        <v>43.59061867404295</v>
      </c>
      <c r="L11" s="77">
        <f>28126940.96/1000</f>
        <v>28126.94096</v>
      </c>
      <c r="M11" s="39">
        <f t="shared" si="4"/>
        <v>6.7139673796225816</v>
      </c>
      <c r="N11" s="38">
        <f t="shared" si="7"/>
        <v>45.077357974636115</v>
      </c>
    </row>
    <row r="12" spans="2:14" x14ac:dyDescent="0.25">
      <c r="B12" s="70" t="s">
        <v>17</v>
      </c>
      <c r="C12" s="36">
        <v>23213</v>
      </c>
      <c r="D12" s="39">
        <f t="shared" si="0"/>
        <v>5.9644236377511293</v>
      </c>
      <c r="E12" s="35">
        <f t="shared" si="1"/>
        <v>35.574349330564417</v>
      </c>
      <c r="F12" s="36">
        <v>26176</v>
      </c>
      <c r="G12" s="39">
        <f t="shared" si="2"/>
        <v>6.58577024779665</v>
      </c>
      <c r="H12" s="35">
        <f t="shared" si="5"/>
        <v>43.372369756763547</v>
      </c>
      <c r="I12" s="36">
        <f>24582680/1000</f>
        <v>24582.68</v>
      </c>
      <c r="J12" s="25">
        <f t="shared" si="3"/>
        <v>6.0243920302581078</v>
      </c>
      <c r="K12" s="35">
        <f t="shared" si="6"/>
        <v>36.293299334237403</v>
      </c>
      <c r="L12" s="77">
        <f>24483962/1000</f>
        <v>24483.962</v>
      </c>
      <c r="M12" s="39">
        <f t="shared" si="4"/>
        <v>5.8443796794572886</v>
      </c>
      <c r="N12" s="38">
        <f t="shared" si="7"/>
        <v>34.156773837653283</v>
      </c>
    </row>
    <row r="13" spans="2:14" x14ac:dyDescent="0.25">
      <c r="B13" s="87" t="s">
        <v>8</v>
      </c>
      <c r="C13" s="36">
        <v>19245</v>
      </c>
      <c r="D13" s="39">
        <f t="shared" si="0"/>
        <v>4.9448728259389352</v>
      </c>
      <c r="E13" s="35">
        <f t="shared" si="1"/>
        <v>24.451767264709311</v>
      </c>
      <c r="F13" s="36">
        <v>21154</v>
      </c>
      <c r="G13" s="39">
        <f t="shared" si="2"/>
        <v>5.3222564112885982</v>
      </c>
      <c r="H13" s="35">
        <f t="shared" si="5"/>
        <v>28.326413307502587</v>
      </c>
      <c r="I13" s="36">
        <f>22633795/1000</f>
        <v>22633.794999999998</v>
      </c>
      <c r="J13" s="39">
        <f t="shared" si="3"/>
        <v>5.5467855503344552</v>
      </c>
      <c r="K13" s="35">
        <f t="shared" si="6"/>
        <v>30.766829941399106</v>
      </c>
      <c r="L13" s="77">
        <f>23011035.8/1000</f>
        <v>23011.035800000001</v>
      </c>
      <c r="M13" s="39">
        <f t="shared" si="4"/>
        <v>5.4927887093103722</v>
      </c>
      <c r="N13" s="38">
        <f t="shared" si="7"/>
        <v>30.170727805127505</v>
      </c>
    </row>
    <row r="14" spans="2:14" x14ac:dyDescent="0.25">
      <c r="B14" s="70" t="s">
        <v>14</v>
      </c>
      <c r="C14" s="36">
        <v>19187</v>
      </c>
      <c r="D14" s="39">
        <f t="shared" si="0"/>
        <v>4.9299701175001482</v>
      </c>
      <c r="E14" s="35">
        <f t="shared" si="1"/>
        <v>24.304605359444427</v>
      </c>
      <c r="F14" s="36">
        <v>15974</v>
      </c>
      <c r="G14" s="39">
        <f t="shared" si="2"/>
        <v>4.0189904469095232</v>
      </c>
      <c r="H14" s="35">
        <f t="shared" si="5"/>
        <v>16.152284212350008</v>
      </c>
      <c r="I14" s="36">
        <f>16959804/1000</f>
        <v>16959.804</v>
      </c>
      <c r="J14" s="39">
        <f t="shared" si="3"/>
        <v>4.1562802775100023</v>
      </c>
      <c r="K14" s="35">
        <f t="shared" si="6"/>
        <v>17.27466574521862</v>
      </c>
      <c r="L14" s="82">
        <f>17563336/1000</f>
        <v>17563.335999999999</v>
      </c>
      <c r="M14" s="39">
        <f t="shared" si="4"/>
        <v>4.1924098731194182</v>
      </c>
      <c r="N14" s="38">
        <f t="shared" si="7"/>
        <v>17.576300544229177</v>
      </c>
    </row>
    <row r="15" spans="2:14" x14ac:dyDescent="0.25">
      <c r="B15" s="70" t="s">
        <v>19</v>
      </c>
      <c r="C15" s="36">
        <v>11959</v>
      </c>
      <c r="D15" s="39">
        <f t="shared" si="0"/>
        <v>3.0727843141285383</v>
      </c>
      <c r="E15" s="35">
        <f>D15^2</f>
        <v>9.4420034411543909</v>
      </c>
      <c r="F15" s="36">
        <v>13623</v>
      </c>
      <c r="G15" s="39">
        <f t="shared" si="2"/>
        <v>3.4274888480185575</v>
      </c>
      <c r="H15" s="35">
        <f>G15^2</f>
        <v>11.747679803291579</v>
      </c>
      <c r="I15" s="36">
        <f>14066545/1000</f>
        <v>14066.545</v>
      </c>
      <c r="J15" s="39">
        <f t="shared" si="3"/>
        <v>3.4472393405140132</v>
      </c>
      <c r="K15" s="35">
        <f>J15^2</f>
        <v>11.883459070787488</v>
      </c>
      <c r="L15" s="82">
        <f>14922084/1000</f>
        <v>14922.084000000001</v>
      </c>
      <c r="M15" s="39">
        <f t="shared" si="4"/>
        <v>3.5619367692514281</v>
      </c>
      <c r="N15" s="38">
        <f>M15^2</f>
        <v>12.687393548145302</v>
      </c>
    </row>
    <row r="16" spans="2:14" x14ac:dyDescent="0.25">
      <c r="B16" s="70" t="s">
        <v>18</v>
      </c>
      <c r="C16" s="36">
        <v>18662</v>
      </c>
      <c r="D16" s="39">
        <f t="shared" si="0"/>
        <v>4.79507491180423</v>
      </c>
      <c r="E16" s="35">
        <f t="shared" si="1"/>
        <v>22.992743409814345</v>
      </c>
      <c r="F16" s="36">
        <v>15834</v>
      </c>
      <c r="G16" s="39">
        <f t="shared" si="2"/>
        <v>3.9837670424668459</v>
      </c>
      <c r="H16" s="35">
        <f t="shared" si="5"/>
        <v>15.870399848645039</v>
      </c>
      <c r="I16" s="36">
        <f>16385739/1000</f>
        <v>16385.739000000001</v>
      </c>
      <c r="J16" s="39">
        <f t="shared" si="3"/>
        <v>4.0155961612602642</v>
      </c>
      <c r="K16" s="35">
        <f t="shared" si="6"/>
        <v>16.125012530328171</v>
      </c>
      <c r="L16" s="82">
        <f>14884678/1000</f>
        <v>14884.678</v>
      </c>
      <c r="M16" s="39">
        <f t="shared" si="4"/>
        <v>3.5530078685167443</v>
      </c>
      <c r="N16" s="38">
        <f t="shared" si="7"/>
        <v>12.623864913741899</v>
      </c>
    </row>
    <row r="17" spans="2:14" x14ac:dyDescent="0.25">
      <c r="B17" s="70" t="s">
        <v>20</v>
      </c>
      <c r="C17" s="36">
        <v>6802</v>
      </c>
      <c r="D17" s="39">
        <f t="shared" si="0"/>
        <v>1.7477279793212075</v>
      </c>
      <c r="E17" s="35">
        <f t="shared" ref="E17:E22" si="8">D17^2</f>
        <v>3.0545530897021913</v>
      </c>
      <c r="F17" s="36">
        <v>8282</v>
      </c>
      <c r="G17" s="39">
        <f t="shared" si="2"/>
        <v>2.0837159685304041</v>
      </c>
      <c r="H17" s="35">
        <f t="shared" ref="H17:H22" si="9">G17^2</f>
        <v>4.3418722375085999</v>
      </c>
      <c r="I17" s="36">
        <f>12056864/1000</f>
        <v>12056.864</v>
      </c>
      <c r="J17" s="39">
        <f t="shared" si="3"/>
        <v>2.954733795969597</v>
      </c>
      <c r="K17" s="35">
        <f t="shared" ref="K17:K22" si="10">J17^2</f>
        <v>8.730451805044904</v>
      </c>
      <c r="L17" s="77">
        <f>14700501.44/1000</f>
        <v>14700.50144</v>
      </c>
      <c r="M17" s="39">
        <f t="shared" si="4"/>
        <v>3.5090444877250095</v>
      </c>
      <c r="N17" s="38">
        <f t="shared" ref="N17:N22" si="11">M17^2</f>
        <v>12.313393216833274</v>
      </c>
    </row>
    <row r="18" spans="2:14" x14ac:dyDescent="0.25">
      <c r="B18" s="70" t="s">
        <v>28</v>
      </c>
      <c r="C18" s="36">
        <v>8903</v>
      </c>
      <c r="D18" s="39">
        <f t="shared" si="0"/>
        <v>2.2875657453538234</v>
      </c>
      <c r="E18" s="35">
        <f t="shared" si="8"/>
        <v>5.2329570393161937</v>
      </c>
      <c r="F18" s="36">
        <v>12038</v>
      </c>
      <c r="G18" s="39">
        <f t="shared" si="2"/>
        <v>3.0287095905782424</v>
      </c>
      <c r="H18" s="35">
        <f t="shared" si="9"/>
        <v>9.1730817840606242</v>
      </c>
      <c r="I18" s="36">
        <f>14357563/1000</f>
        <v>14357.563</v>
      </c>
      <c r="J18" s="39">
        <f t="shared" si="3"/>
        <v>3.5185581112852091</v>
      </c>
      <c r="K18" s="35">
        <f t="shared" si="10"/>
        <v>12.380251182490937</v>
      </c>
      <c r="L18" s="82">
        <f>14213268/1000</f>
        <v>14213.268</v>
      </c>
      <c r="M18" s="39">
        <f t="shared" si="4"/>
        <v>3.3927407123847253</v>
      </c>
      <c r="N18" s="38">
        <f t="shared" si="11"/>
        <v>11.510689541472813</v>
      </c>
    </row>
    <row r="19" spans="2:14" x14ac:dyDescent="0.25">
      <c r="B19" s="70" t="s">
        <v>21</v>
      </c>
      <c r="C19" s="36">
        <v>12270</v>
      </c>
      <c r="D19" s="39">
        <f t="shared" si="0"/>
        <v>3.152693664550311</v>
      </c>
      <c r="E19" s="35">
        <f t="shared" si="8"/>
        <v>9.9394773424956693</v>
      </c>
      <c r="F19" s="36">
        <v>11718</v>
      </c>
      <c r="G19" s="39">
        <f t="shared" si="2"/>
        <v>2.9481989518521221</v>
      </c>
      <c r="H19" s="35">
        <f t="shared" si="9"/>
        <v>8.6918770597019517</v>
      </c>
      <c r="I19" s="36">
        <f>11508564/1000</f>
        <v>11508.564</v>
      </c>
      <c r="J19" s="39">
        <f t="shared" si="3"/>
        <v>2.8203638188071993</v>
      </c>
      <c r="K19" s="35">
        <f t="shared" si="10"/>
        <v>7.9544520704367283</v>
      </c>
      <c r="L19" s="82">
        <f>12285731/1000</f>
        <v>12285.731</v>
      </c>
      <c r="M19" s="39">
        <f t="shared" si="4"/>
        <v>2.9326330682786743</v>
      </c>
      <c r="N19" s="38">
        <f t="shared" si="11"/>
        <v>8.6003367131615924</v>
      </c>
    </row>
    <row r="20" spans="2:14" x14ac:dyDescent="0.25">
      <c r="B20" s="70" t="s">
        <v>23</v>
      </c>
      <c r="C20" s="36">
        <v>8346</v>
      </c>
      <c r="D20" s="39">
        <f t="shared" si="0"/>
        <v>2.1444483556916785</v>
      </c>
      <c r="E20" s="35">
        <f t="shared" si="8"/>
        <v>4.5986587502287435</v>
      </c>
      <c r="F20" s="36">
        <v>9474</v>
      </c>
      <c r="G20" s="39">
        <f t="shared" si="2"/>
        <v>2.3836180977852028</v>
      </c>
      <c r="H20" s="35">
        <f t="shared" si="9"/>
        <v>5.6816352360891491</v>
      </c>
      <c r="I20" s="36">
        <f>9813971/1000</f>
        <v>9813.9709999999995</v>
      </c>
      <c r="J20" s="39">
        <f t="shared" si="3"/>
        <v>2.4050757963567921</v>
      </c>
      <c r="K20" s="35">
        <f t="shared" si="10"/>
        <v>5.7843895862212582</v>
      </c>
      <c r="L20" s="77">
        <f>10028188.44/1000</f>
        <v>10028.18844</v>
      </c>
      <c r="M20" s="39">
        <f t="shared" si="4"/>
        <v>2.3937523159243792</v>
      </c>
      <c r="N20" s="38">
        <f t="shared" si="11"/>
        <v>5.7300501499933292</v>
      </c>
    </row>
    <row r="21" spans="2:14" x14ac:dyDescent="0.25">
      <c r="B21" s="70" t="s">
        <v>24</v>
      </c>
      <c r="C21" s="36">
        <v>9603</v>
      </c>
      <c r="D21" s="39">
        <f t="shared" si="0"/>
        <v>2.4674260196150479</v>
      </c>
      <c r="E21" s="35">
        <f t="shared" si="8"/>
        <v>6.0881911622733584</v>
      </c>
      <c r="F21" s="36">
        <v>8360</v>
      </c>
      <c r="G21" s="39">
        <f t="shared" si="2"/>
        <v>2.103340436719896</v>
      </c>
      <c r="H21" s="35">
        <f t="shared" si="9"/>
        <v>4.4240409927410429</v>
      </c>
      <c r="I21" s="36">
        <f>7432490/1000</f>
        <v>7432.49</v>
      </c>
      <c r="J21" s="39">
        <f t="shared" si="3"/>
        <v>1.8214545167969105</v>
      </c>
      <c r="K21" s="35">
        <f t="shared" si="10"/>
        <v>3.3176965567598669</v>
      </c>
      <c r="L21" s="77">
        <f>8010092/1000</f>
        <v>8010.0919999999996</v>
      </c>
      <c r="M21" s="39">
        <f t="shared" si="4"/>
        <v>1.9120279191490082</v>
      </c>
      <c r="N21" s="38">
        <f t="shared" si="11"/>
        <v>3.6558507636052862</v>
      </c>
    </row>
    <row r="22" spans="2:14" x14ac:dyDescent="0.25">
      <c r="B22" s="70" t="s">
        <v>25</v>
      </c>
      <c r="C22" s="36">
        <v>7362</v>
      </c>
      <c r="D22" s="39">
        <f t="shared" si="0"/>
        <v>1.8916161987301865</v>
      </c>
      <c r="E22" s="35">
        <f t="shared" si="8"/>
        <v>3.5782118432984404</v>
      </c>
      <c r="F22" s="36">
        <v>6707</v>
      </c>
      <c r="G22" s="39">
        <f t="shared" si="2"/>
        <v>1.6874526685502802</v>
      </c>
      <c r="H22" s="35">
        <f t="shared" si="9"/>
        <v>2.847496508597462</v>
      </c>
      <c r="I22" s="36">
        <f>6261282/1000</f>
        <v>6261.2820000000002</v>
      </c>
      <c r="J22" s="39">
        <f t="shared" si="3"/>
        <v>1.5344306389701425</v>
      </c>
      <c r="K22" s="35">
        <f t="shared" si="10"/>
        <v>2.3544773858103198</v>
      </c>
      <c r="L22" s="82">
        <f>7735934/1000</f>
        <v>7735.9340000000002</v>
      </c>
      <c r="M22" s="39">
        <f t="shared" si="4"/>
        <v>1.8465857556559981</v>
      </c>
      <c r="N22" s="38">
        <f t="shared" si="11"/>
        <v>3.4098789529916336</v>
      </c>
    </row>
    <row r="23" spans="2:14" x14ac:dyDescent="0.25">
      <c r="B23" s="70" t="s">
        <v>22</v>
      </c>
      <c r="C23" s="36">
        <v>8260</v>
      </c>
      <c r="D23" s="39">
        <f t="shared" si="0"/>
        <v>2.1223512362824422</v>
      </c>
      <c r="E23" s="35">
        <f t="shared" si="1"/>
        <v>4.5043747701496102</v>
      </c>
      <c r="F23" s="36">
        <v>9599</v>
      </c>
      <c r="G23" s="39">
        <f t="shared" si="2"/>
        <v>2.4150675660375933</v>
      </c>
      <c r="H23" s="35">
        <f t="shared" si="5"/>
        <v>5.8325513485267448</v>
      </c>
      <c r="I23" s="36">
        <f>10181881/1000</f>
        <v>10181.880999999999</v>
      </c>
      <c r="J23" s="39">
        <f t="shared" si="3"/>
        <v>2.4952382225793301</v>
      </c>
      <c r="K23" s="35">
        <f t="shared" si="6"/>
        <v>6.2262137874208543</v>
      </c>
      <c r="L23" s="82">
        <f>7530191/1000</f>
        <v>7530.1909999999998</v>
      </c>
      <c r="M23" s="39">
        <f t="shared" si="4"/>
        <v>1.7974744145915666</v>
      </c>
      <c r="N23" s="38">
        <f t="shared" si="7"/>
        <v>3.230914271111295</v>
      </c>
    </row>
    <row r="24" spans="2:14" x14ac:dyDescent="0.25">
      <c r="B24" s="70" t="s">
        <v>26</v>
      </c>
      <c r="C24" s="36">
        <v>1739</v>
      </c>
      <c r="D24" s="39">
        <f t="shared" si="0"/>
        <v>0.44682430991466909</v>
      </c>
      <c r="E24" s="35">
        <f>D24^2</f>
        <v>0.19965196393072027</v>
      </c>
      <c r="F24" s="36">
        <v>1803</v>
      </c>
      <c r="G24" s="39">
        <f t="shared" si="2"/>
        <v>0.45362713007248473</v>
      </c>
      <c r="H24" s="35">
        <f>G24^2</f>
        <v>0.20577757313779899</v>
      </c>
      <c r="I24" s="36">
        <f>4668895/1000</f>
        <v>4668.8950000000004</v>
      </c>
      <c r="J24" s="39">
        <f t="shared" si="3"/>
        <v>1.1441898860544062</v>
      </c>
      <c r="K24" s="35">
        <f>J24^2</f>
        <v>1.3091704953491949</v>
      </c>
      <c r="L24" s="82">
        <f>5238322/1000</f>
        <v>5238.3220000000001</v>
      </c>
      <c r="M24" s="39">
        <f t="shared" si="4"/>
        <v>1.2503998597634673</v>
      </c>
      <c r="N24" s="38">
        <f>M24^2</f>
        <v>1.5634998092964989</v>
      </c>
    </row>
    <row r="25" spans="2:14" x14ac:dyDescent="0.25">
      <c r="B25" s="70" t="s">
        <v>9</v>
      </c>
      <c r="C25" s="36">
        <v>1072</v>
      </c>
      <c r="D25" s="39">
        <f t="shared" si="0"/>
        <v>0.2754431628686172</v>
      </c>
      <c r="E25" s="35">
        <f t="shared" si="1"/>
        <v>7.5868935971067586E-2</v>
      </c>
      <c r="F25" s="36">
        <v>2524</v>
      </c>
      <c r="G25" s="39">
        <f t="shared" si="2"/>
        <v>0.63502766295227486</v>
      </c>
      <c r="H25" s="35">
        <f t="shared" si="5"/>
        <v>0.40326013271462802</v>
      </c>
      <c r="I25" s="36">
        <f>3280963/1000</f>
        <v>3280.9630000000002</v>
      </c>
      <c r="J25" s="39">
        <f t="shared" si="3"/>
        <v>0.80405421006870414</v>
      </c>
      <c r="K25" s="35">
        <f t="shared" si="6"/>
        <v>0.64650317272920776</v>
      </c>
      <c r="L25" s="77">
        <f>4792366.71/1000</f>
        <v>4792.3667100000002</v>
      </c>
      <c r="M25" s="39">
        <f t="shared" si="4"/>
        <v>1.1439492765276953</v>
      </c>
      <c r="N25" s="38">
        <f t="shared" si="7"/>
        <v>1.3086199472682374</v>
      </c>
    </row>
    <row r="26" spans="2:14" x14ac:dyDescent="0.25">
      <c r="B26" s="70" t="s">
        <v>27</v>
      </c>
      <c r="C26" s="36">
        <v>1529</v>
      </c>
      <c r="D26" s="39">
        <f t="shared" si="0"/>
        <v>0.39286622763630197</v>
      </c>
      <c r="E26" s="35">
        <f t="shared" si="1"/>
        <v>0.15434387281717862</v>
      </c>
      <c r="F26" s="36">
        <v>2220</v>
      </c>
      <c r="G26" s="39">
        <f t="shared" si="2"/>
        <v>0.5585425561624604</v>
      </c>
      <c r="H26" s="35">
        <f t="shared" si="5"/>
        <v>0.31196978704449524</v>
      </c>
      <c r="I26" s="36">
        <f>2762059/1000</f>
        <v>2762.0590000000002</v>
      </c>
      <c r="J26" s="39">
        <f t="shared" si="3"/>
        <v>0.67688820855588894</v>
      </c>
      <c r="K26" s="35">
        <f t="shared" si="6"/>
        <v>0.45817764688200058</v>
      </c>
      <c r="L26" s="82">
        <f>3749246/1000</f>
        <v>3749.2460000000001</v>
      </c>
      <c r="M26" s="39">
        <f t="shared" si="4"/>
        <v>0.89495389413227</v>
      </c>
      <c r="N26" s="38">
        <f t="shared" si="7"/>
        <v>0.80094247262251439</v>
      </c>
    </row>
    <row r="27" spans="2:14" x14ac:dyDescent="0.25">
      <c r="B27" s="70" t="s">
        <v>39</v>
      </c>
      <c r="C27" s="36">
        <v>10032</v>
      </c>
      <c r="D27" s="39">
        <f t="shared" si="0"/>
        <v>2.5776546734122832</v>
      </c>
      <c r="E27" s="35">
        <f>D27^2</f>
        <v>6.6443036153641843</v>
      </c>
      <c r="F27" s="36">
        <v>7514</v>
      </c>
      <c r="G27" s="39">
        <f t="shared" si="2"/>
        <v>1.890490435587715</v>
      </c>
      <c r="H27" s="35">
        <f>G27^2</f>
        <v>3.5739540870486284</v>
      </c>
      <c r="I27" s="36">
        <f>6366183/1000</f>
        <v>6366.183</v>
      </c>
      <c r="J27" s="39">
        <f t="shared" si="3"/>
        <v>1.5601383627970853</v>
      </c>
      <c r="K27" s="35">
        <f>J27^2</f>
        <v>2.4340317110711696</v>
      </c>
      <c r="L27" s="77">
        <f>1316483.05/1000</f>
        <v>1316.48305</v>
      </c>
      <c r="M27" s="39">
        <f t="shared" si="4"/>
        <v>0.31424761996322137</v>
      </c>
      <c r="N27" s="38">
        <f>M27^2</f>
        <v>9.8751566652549208E-2</v>
      </c>
    </row>
    <row r="28" spans="2:14" x14ac:dyDescent="0.25">
      <c r="B28" s="70" t="s">
        <v>7</v>
      </c>
      <c r="C28" s="36">
        <v>288</v>
      </c>
      <c r="D28" s="39">
        <f t="shared" si="0"/>
        <v>7.3999655696046412E-2</v>
      </c>
      <c r="E28" s="35">
        <f>D28^2</f>
        <v>5.4759490431334143E-3</v>
      </c>
      <c r="F28" s="40">
        <v>259</v>
      </c>
      <c r="G28" s="39">
        <f t="shared" si="2"/>
        <v>6.5163298218953711E-2</v>
      </c>
      <c r="H28" s="35">
        <f>G28^2</f>
        <v>4.2462554347722963E-3</v>
      </c>
      <c r="I28" s="36">
        <f>287992/1000</f>
        <v>287.99200000000002</v>
      </c>
      <c r="J28" s="39">
        <f t="shared" si="3"/>
        <v>7.0577199458240231E-2</v>
      </c>
      <c r="K28" s="35">
        <f>J28^2</f>
        <v>4.9811410833682252E-3</v>
      </c>
      <c r="L28" s="77">
        <f>758728.05/1000</f>
        <v>758.72805000000005</v>
      </c>
      <c r="M28" s="39">
        <f t="shared" si="4"/>
        <v>0.1811101813364297</v>
      </c>
      <c r="N28" s="38">
        <f>M28^2</f>
        <v>3.280089778371445E-2</v>
      </c>
    </row>
    <row r="29" spans="2:14" x14ac:dyDescent="0.25">
      <c r="B29" s="70" t="s">
        <v>15</v>
      </c>
      <c r="C29" s="36">
        <v>6127</v>
      </c>
      <c r="D29" s="39">
        <f t="shared" si="0"/>
        <v>1.5742912862835985</v>
      </c>
      <c r="E29" s="35">
        <f>D29^2</f>
        <v>2.4783930540684671</v>
      </c>
      <c r="F29" s="36">
        <v>1284</v>
      </c>
      <c r="G29" s="39">
        <f t="shared" si="2"/>
        <v>0.32304893788855815</v>
      </c>
      <c r="H29" s="35">
        <f t="shared" si="5"/>
        <v>0.10436061627092551</v>
      </c>
      <c r="I29" s="36">
        <v>0</v>
      </c>
      <c r="J29" s="39">
        <f t="shared" si="3"/>
        <v>0</v>
      </c>
      <c r="K29" s="35">
        <f t="shared" si="6"/>
        <v>0</v>
      </c>
      <c r="L29" s="77">
        <v>0</v>
      </c>
      <c r="M29" s="39">
        <f t="shared" si="4"/>
        <v>0</v>
      </c>
      <c r="N29" s="38">
        <f t="shared" si="7"/>
        <v>0</v>
      </c>
    </row>
    <row r="30" spans="2:14" x14ac:dyDescent="0.25">
      <c r="B30" s="70" t="s">
        <v>10</v>
      </c>
      <c r="C30" s="36">
        <v>18</v>
      </c>
      <c r="D30" s="39">
        <f t="shared" si="0"/>
        <v>4.6249784810029008E-3</v>
      </c>
      <c r="E30" s="35">
        <v>0</v>
      </c>
      <c r="F30" s="40">
        <v>15</v>
      </c>
      <c r="G30" s="39">
        <f t="shared" si="2"/>
        <v>3.7739361902868946E-3</v>
      </c>
      <c r="H30" s="35">
        <f t="shared" si="5"/>
        <v>1.424259436835716E-5</v>
      </c>
      <c r="I30" s="36">
        <f>13885/1000</f>
        <v>13.885</v>
      </c>
      <c r="J30" s="39">
        <f t="shared" si="3"/>
        <v>3.4027487377346092E-3</v>
      </c>
      <c r="K30" s="35">
        <f t="shared" si="6"/>
        <v>1.1578698972154477E-5</v>
      </c>
      <c r="L30" s="82">
        <f>14949/1000</f>
        <v>14.949</v>
      </c>
      <c r="M30" s="39">
        <f t="shared" si="4"/>
        <v>3.5683616821577738E-3</v>
      </c>
      <c r="N30" s="38">
        <f t="shared" si="7"/>
        <v>1.2733205094691857E-5</v>
      </c>
    </row>
    <row r="31" spans="2:14" x14ac:dyDescent="0.25">
      <c r="B31" s="70" t="s">
        <v>36</v>
      </c>
      <c r="C31" s="36">
        <v>0</v>
      </c>
      <c r="D31" s="39">
        <f t="shared" si="0"/>
        <v>0</v>
      </c>
      <c r="E31" s="35">
        <f>D31^2</f>
        <v>0</v>
      </c>
      <c r="F31" s="36">
        <v>0</v>
      </c>
      <c r="G31" s="39">
        <f t="shared" si="2"/>
        <v>0</v>
      </c>
      <c r="H31" s="35">
        <f t="shared" si="5"/>
        <v>0</v>
      </c>
      <c r="I31" s="36">
        <v>0</v>
      </c>
      <c r="J31" s="39">
        <f t="shared" si="3"/>
        <v>0</v>
      </c>
      <c r="K31" s="35">
        <f t="shared" si="6"/>
        <v>0</v>
      </c>
      <c r="L31" s="77">
        <v>0</v>
      </c>
      <c r="M31" s="39">
        <f t="shared" si="4"/>
        <v>0</v>
      </c>
      <c r="N31" s="38">
        <f t="shared" si="7"/>
        <v>0</v>
      </c>
    </row>
    <row r="32" spans="2:14" ht="16.5" thickBot="1" x14ac:dyDescent="0.3">
      <c r="B32" s="30" t="s">
        <v>6</v>
      </c>
      <c r="C32" s="41">
        <f t="shared" ref="C32:M32" si="12">SUM(C6:C31)</f>
        <v>389191</v>
      </c>
      <c r="D32" s="42">
        <f t="shared" si="12"/>
        <v>100</v>
      </c>
      <c r="E32" s="42">
        <f t="shared" si="12"/>
        <v>711.48776940845028</v>
      </c>
      <c r="F32" s="41">
        <f t="shared" si="12"/>
        <v>397463</v>
      </c>
      <c r="G32" s="43">
        <f t="shared" si="12"/>
        <v>99.999999999999986</v>
      </c>
      <c r="H32" s="42">
        <f t="shared" si="12"/>
        <v>727.8758084597531</v>
      </c>
      <c r="I32" s="41">
        <f t="shared" si="12"/>
        <v>408052.46200000012</v>
      </c>
      <c r="J32" s="42">
        <f t="shared" si="12"/>
        <v>99.999999999999986</v>
      </c>
      <c r="K32" s="42">
        <f t="shared" si="12"/>
        <v>718.20012282883738</v>
      </c>
      <c r="L32" s="41">
        <f>SUM(L6:L31)</f>
        <v>418931.7488399999</v>
      </c>
      <c r="M32" s="42">
        <f t="shared" si="12"/>
        <v>100.00000000000001</v>
      </c>
      <c r="N32" s="44">
        <f>SUM(N6:N31)</f>
        <v>722.94424020402721</v>
      </c>
    </row>
    <row r="34" spans="2:12" ht="16.5" thickBot="1" x14ac:dyDescent="0.3">
      <c r="B34" s="8"/>
      <c r="L34" s="78"/>
    </row>
    <row r="35" spans="2:12" x14ac:dyDescent="0.25">
      <c r="B35" s="99"/>
      <c r="C35" s="100"/>
      <c r="D35" s="72" t="s">
        <v>3</v>
      </c>
      <c r="E35" s="72" t="s">
        <v>4</v>
      </c>
      <c r="F35" s="72" t="s">
        <v>5</v>
      </c>
      <c r="G35" s="73" t="s">
        <v>37</v>
      </c>
      <c r="I35" s="79" t="s">
        <v>51</v>
      </c>
      <c r="L35" s="78"/>
    </row>
    <row r="36" spans="2:12" x14ac:dyDescent="0.25">
      <c r="B36" s="107" t="s">
        <v>32</v>
      </c>
      <c r="C36" s="108"/>
      <c r="D36" s="33">
        <f>(D6+D8+D7+D11)/100</f>
        <v>0.42049276576282596</v>
      </c>
      <c r="E36" s="33">
        <f>SUM(G6:G9)/100</f>
        <v>0.42781843844584272</v>
      </c>
      <c r="F36" s="33">
        <f>SUM(J6:J9)/100</f>
        <v>0.42545381333834464</v>
      </c>
      <c r="G36" s="74">
        <f>(M6+M8+M7+M9)/100</f>
        <v>0.41911138717981927</v>
      </c>
      <c r="I36" s="68" t="s">
        <v>48</v>
      </c>
    </row>
    <row r="37" spans="2:12" ht="16.5" thickBot="1" x14ac:dyDescent="0.3">
      <c r="B37" s="101" t="s">
        <v>0</v>
      </c>
      <c r="C37" s="102"/>
      <c r="D37" s="75">
        <f>E32</f>
        <v>711.48776940845028</v>
      </c>
      <c r="E37" s="75">
        <f>H32</f>
        <v>727.8758084597531</v>
      </c>
      <c r="F37" s="75">
        <f>K32</f>
        <v>718.20012282883738</v>
      </c>
      <c r="G37" s="76">
        <f>N32</f>
        <v>722.94424020402721</v>
      </c>
      <c r="I37" s="68" t="s">
        <v>40</v>
      </c>
    </row>
    <row r="41" spans="2:12" x14ac:dyDescent="0.25">
      <c r="C41" s="9"/>
      <c r="F41" s="10"/>
    </row>
    <row r="42" spans="2:12" x14ac:dyDescent="0.25">
      <c r="C42" s="9"/>
      <c r="F42" s="10"/>
    </row>
    <row r="43" spans="2:12" x14ac:dyDescent="0.25">
      <c r="F43" s="10"/>
    </row>
    <row r="44" spans="2:12" x14ac:dyDescent="0.25">
      <c r="F44" s="10"/>
    </row>
    <row r="45" spans="2:12" x14ac:dyDescent="0.25">
      <c r="F45" s="10"/>
    </row>
    <row r="46" spans="2:12" x14ac:dyDescent="0.25">
      <c r="F46" s="10"/>
    </row>
    <row r="47" spans="2:12" x14ac:dyDescent="0.25">
      <c r="F47" s="11"/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0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7" customWidth="1"/>
    <col min="2" max="2" width="29.42578125" style="7" customWidth="1"/>
    <col min="3" max="3" width="17.7109375" style="7" customWidth="1"/>
    <col min="4" max="4" width="9.7109375" style="7" customWidth="1"/>
    <col min="5" max="5" width="7.8554687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140625" style="7" customWidth="1"/>
    <col min="11" max="11" width="7.7109375" style="7" customWidth="1"/>
    <col min="12" max="12" width="17.7109375" style="7" customWidth="1"/>
    <col min="13" max="13" width="8" style="7" bestFit="1" customWidth="1"/>
    <col min="14" max="14" width="8.85546875" style="7" customWidth="1"/>
    <col min="15" max="16384" width="10.42578125" style="7"/>
  </cols>
  <sheetData>
    <row r="2" spans="2:14" x14ac:dyDescent="0.25">
      <c r="B2" s="94" t="s">
        <v>35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2:14" ht="16.5" thickBot="1" x14ac:dyDescent="0.3">
      <c r="B3" s="5"/>
    </row>
    <row r="4" spans="2:14" x14ac:dyDescent="0.25">
      <c r="B4" s="103" t="s">
        <v>45</v>
      </c>
      <c r="C4" s="97" t="s">
        <v>3</v>
      </c>
      <c r="D4" s="97"/>
      <c r="E4" s="97"/>
      <c r="F4" s="97" t="s">
        <v>4</v>
      </c>
      <c r="G4" s="97"/>
      <c r="H4" s="97"/>
      <c r="I4" s="97" t="s">
        <v>5</v>
      </c>
      <c r="J4" s="97"/>
      <c r="K4" s="97"/>
      <c r="L4" s="97" t="s">
        <v>37</v>
      </c>
      <c r="M4" s="97"/>
      <c r="N4" s="98"/>
    </row>
    <row r="5" spans="2:14" ht="39.75" customHeight="1" x14ac:dyDescent="0.25">
      <c r="B5" s="104"/>
      <c r="C5" s="16" t="s">
        <v>47</v>
      </c>
      <c r="D5" s="16" t="s">
        <v>2</v>
      </c>
      <c r="E5" s="17" t="s">
        <v>0</v>
      </c>
      <c r="F5" s="16" t="s">
        <v>47</v>
      </c>
      <c r="G5" s="16" t="s">
        <v>2</v>
      </c>
      <c r="H5" s="17" t="s">
        <v>0</v>
      </c>
      <c r="I5" s="16" t="s">
        <v>47</v>
      </c>
      <c r="J5" s="16" t="s">
        <v>2</v>
      </c>
      <c r="K5" s="17" t="s">
        <v>0</v>
      </c>
      <c r="L5" s="16" t="s">
        <v>47</v>
      </c>
      <c r="M5" s="16" t="s">
        <v>2</v>
      </c>
      <c r="N5" s="18" t="s">
        <v>0</v>
      </c>
    </row>
    <row r="6" spans="2:14" x14ac:dyDescent="0.25">
      <c r="B6" s="69" t="s">
        <v>42</v>
      </c>
      <c r="C6" s="45">
        <v>54019</v>
      </c>
      <c r="D6" s="46">
        <f t="shared" ref="D6:D27" si="0">C6/C$32*100</f>
        <v>11.778262793998689</v>
      </c>
      <c r="E6" s="47">
        <f>D6^2</f>
        <v>138.72747444449379</v>
      </c>
      <c r="F6" s="45">
        <v>58653</v>
      </c>
      <c r="G6" s="46">
        <f t="shared" ref="G6:G31" si="1">F6/F$32*100</f>
        <v>12.426246109714009</v>
      </c>
      <c r="H6" s="47">
        <f t="shared" ref="H6:H31" si="2">G6^2</f>
        <v>154.41159237918257</v>
      </c>
      <c r="I6" s="48">
        <f>'HHI - Životno'!I12+'HHI - Neživotno'!I6</f>
        <v>62436.368770000001</v>
      </c>
      <c r="J6" s="46">
        <f t="shared" ref="J6:J31" si="3">I6/I$32*100</f>
        <v>12.791406348643214</v>
      </c>
      <c r="K6" s="47">
        <f t="shared" ref="K6:K31" si="4">J6^2</f>
        <v>163.62007637610992</v>
      </c>
      <c r="L6" s="48">
        <f>'HHI - Životno'!L12+'HHI - Neživotno'!L6</f>
        <v>64552.11924</v>
      </c>
      <c r="M6" s="46">
        <f t="shared" ref="M6:M31" si="5">L6/L$32*100</f>
        <v>12.780251496116019</v>
      </c>
      <c r="N6" s="49">
        <f t="shared" ref="N6:N31" si="6">M6^2</f>
        <v>163.33482830397574</v>
      </c>
    </row>
    <row r="7" spans="2:14" x14ac:dyDescent="0.25">
      <c r="B7" s="69" t="s">
        <v>33</v>
      </c>
      <c r="C7" s="45">
        <v>47514</v>
      </c>
      <c r="D7" s="46">
        <f t="shared" si="0"/>
        <v>10.359917406728256</v>
      </c>
      <c r="E7" s="47">
        <f t="shared" ref="E7:E29" si="7">D7^2</f>
        <v>107.3278886742311</v>
      </c>
      <c r="F7" s="45">
        <v>46556</v>
      </c>
      <c r="G7" s="46">
        <f t="shared" si="1"/>
        <v>9.8633712492770265</v>
      </c>
      <c r="H7" s="47">
        <f t="shared" si="2"/>
        <v>97.28609240106465</v>
      </c>
      <c r="I7" s="48">
        <f>'HHI - Životno'!I13+'HHI - Neživotno'!I8</f>
        <v>43549.804000000004</v>
      </c>
      <c r="J7" s="46">
        <f t="shared" si="3"/>
        <v>8.9220954123685452</v>
      </c>
      <c r="K7" s="47">
        <f t="shared" si="4"/>
        <v>79.603786547407836</v>
      </c>
      <c r="L7" s="48">
        <f>'HHI - Životno'!L13+'HHI - Neživotno'!L8</f>
        <v>43971.056830000001</v>
      </c>
      <c r="M7" s="46">
        <f t="shared" si="5"/>
        <v>8.7055416840472724</v>
      </c>
      <c r="N7" s="49">
        <f t="shared" si="6"/>
        <v>75.786456012684624</v>
      </c>
    </row>
    <row r="8" spans="2:14" x14ac:dyDescent="0.25">
      <c r="B8" s="69" t="s">
        <v>16</v>
      </c>
      <c r="C8" s="50">
        <v>36809</v>
      </c>
      <c r="D8" s="46">
        <f t="shared" si="0"/>
        <v>8.025807126831257</v>
      </c>
      <c r="E8" s="47">
        <f t="shared" si="7"/>
        <v>64.4135800370954</v>
      </c>
      <c r="F8" s="45">
        <v>38874</v>
      </c>
      <c r="G8" s="46">
        <f t="shared" si="1"/>
        <v>8.2358599094508786</v>
      </c>
      <c r="H8" s="47">
        <f t="shared" si="2"/>
        <v>67.829388448100232</v>
      </c>
      <c r="I8" s="48">
        <f>'HHI - Neživotno'!I7</f>
        <v>40512.108</v>
      </c>
      <c r="J8" s="46">
        <f t="shared" si="3"/>
        <v>8.2997593498280491</v>
      </c>
      <c r="K8" s="47">
        <f t="shared" si="4"/>
        <v>68.886005265058117</v>
      </c>
      <c r="L8" s="48">
        <f>'HHI - Neživotno'!L7</f>
        <v>41999.219409999998</v>
      </c>
      <c r="M8" s="46">
        <f t="shared" si="5"/>
        <v>8.3151505019489953</v>
      </c>
      <c r="N8" s="49">
        <f t="shared" si="6"/>
        <v>69.141727870062624</v>
      </c>
    </row>
    <row r="9" spans="2:14" x14ac:dyDescent="0.25">
      <c r="B9" s="69" t="s">
        <v>8</v>
      </c>
      <c r="C9" s="50">
        <v>31903</v>
      </c>
      <c r="D9" s="51">
        <f t="shared" si="0"/>
        <v>6.9561065165393678</v>
      </c>
      <c r="E9" s="47">
        <f>D9^2</f>
        <v>48.387417869441457</v>
      </c>
      <c r="F9" s="45">
        <v>35280</v>
      </c>
      <c r="G9" s="51">
        <f t="shared" si="1"/>
        <v>7.4744337502039153</v>
      </c>
      <c r="H9" s="47">
        <f>G9^2</f>
        <v>55.867159886187366</v>
      </c>
      <c r="I9" s="48">
        <f>'HHI - Životno'!I7+'HHI - Neživotno'!I13</f>
        <v>39953.652019999994</v>
      </c>
      <c r="J9" s="46">
        <f t="shared" si="3"/>
        <v>8.1853478696485329</v>
      </c>
      <c r="K9" s="47">
        <f>J9^2</f>
        <v>66.99991974715978</v>
      </c>
      <c r="L9" s="48">
        <f>'HHI - Životno'!L7+'HHI - Neživotno'!L13</f>
        <v>41706.938009999998</v>
      </c>
      <c r="M9" s="46">
        <f t="shared" si="5"/>
        <v>8.2572836209911635</v>
      </c>
      <c r="N9" s="49">
        <f>M9^2</f>
        <v>68.182732797488939</v>
      </c>
    </row>
    <row r="10" spans="2:14" x14ac:dyDescent="0.25">
      <c r="B10" s="69" t="s">
        <v>11</v>
      </c>
      <c r="C10" s="50">
        <v>35094</v>
      </c>
      <c r="D10" s="46">
        <f t="shared" si="0"/>
        <v>7.6518697956754087</v>
      </c>
      <c r="E10" s="47">
        <f t="shared" si="7"/>
        <v>58.551111369969618</v>
      </c>
      <c r="F10" s="45">
        <v>37826</v>
      </c>
      <c r="G10" s="46">
        <f t="shared" si="1"/>
        <v>8.013830244762282</v>
      </c>
      <c r="H10" s="47">
        <f t="shared" si="2"/>
        <v>64.221475191866702</v>
      </c>
      <c r="I10" s="48">
        <f>'HHI - Životno'!I10+'HHI - Neživotno'!I9</f>
        <v>38061.542079999999</v>
      </c>
      <c r="J10" s="51">
        <f t="shared" si="3"/>
        <v>7.7977092613238934</v>
      </c>
      <c r="K10" s="47">
        <f t="shared" si="4"/>
        <v>60.804269724136418</v>
      </c>
      <c r="L10" s="48">
        <f>'HHI - Životno'!L10+'HHI - Neživotno'!L9</f>
        <v>36401.977290000003</v>
      </c>
      <c r="M10" s="51">
        <f t="shared" si="5"/>
        <v>7.2069891771085999</v>
      </c>
      <c r="N10" s="49">
        <f t="shared" si="6"/>
        <v>51.940692998960493</v>
      </c>
    </row>
    <row r="11" spans="2:14" x14ac:dyDescent="0.25">
      <c r="B11" s="69" t="s">
        <v>12</v>
      </c>
      <c r="C11" s="45">
        <v>31474</v>
      </c>
      <c r="D11" s="51">
        <f t="shared" si="0"/>
        <v>6.8625676739353683</v>
      </c>
      <c r="E11" s="47">
        <f t="shared" si="7"/>
        <v>47.094835079342694</v>
      </c>
      <c r="F11" s="45">
        <v>31809</v>
      </c>
      <c r="G11" s="51">
        <f t="shared" si="1"/>
        <v>6.7390664161064722</v>
      </c>
      <c r="H11" s="47">
        <f t="shared" si="2"/>
        <v>45.41501616069413</v>
      </c>
      <c r="I11" s="48">
        <f>'HHI - Životno'!I11+'HHI - Neživotno'!I11</f>
        <v>30644.897639999999</v>
      </c>
      <c r="J11" s="51">
        <f t="shared" si="3"/>
        <v>6.2782532992880435</v>
      </c>
      <c r="K11" s="47">
        <f t="shared" si="4"/>
        <v>39.416464490021205</v>
      </c>
      <c r="L11" s="48">
        <f>'HHI - Životno'!L11+'HHI - Neživotno'!L11</f>
        <v>32616.429660000002</v>
      </c>
      <c r="M11" s="51">
        <f t="shared" si="5"/>
        <v>6.4575133840358472</v>
      </c>
      <c r="N11" s="49">
        <f t="shared" si="6"/>
        <v>41.699479105002098</v>
      </c>
    </row>
    <row r="12" spans="2:14" x14ac:dyDescent="0.25">
      <c r="B12" s="69" t="s">
        <v>13</v>
      </c>
      <c r="C12" s="45">
        <v>22161</v>
      </c>
      <c r="D12" s="51">
        <f t="shared" si="0"/>
        <v>4.8319680441660324</v>
      </c>
      <c r="E12" s="47">
        <f>D12^2</f>
        <v>23.347915179841713</v>
      </c>
      <c r="F12" s="45">
        <v>24461</v>
      </c>
      <c r="G12" s="51">
        <f t="shared" si="1"/>
        <v>5.182316438881462</v>
      </c>
      <c r="H12" s="47">
        <f>G12^2</f>
        <v>26.856403672701038</v>
      </c>
      <c r="I12" s="48">
        <f>'HHI - Životno'!I14+'HHI - Neživotno'!I10</f>
        <v>24448.52</v>
      </c>
      <c r="J12" s="51">
        <f t="shared" si="3"/>
        <v>5.0087947153838073</v>
      </c>
      <c r="K12" s="47">
        <f>J12^2</f>
        <v>25.088024500856754</v>
      </c>
      <c r="L12" s="83">
        <f>'HHI - Životno'!L14+'HHI - Neživotno'!L10</f>
        <v>30763.947</v>
      </c>
      <c r="M12" s="51">
        <f t="shared" si="5"/>
        <v>6.0907524695107735</v>
      </c>
      <c r="N12" s="49">
        <f>M12^2</f>
        <v>37.097265644851589</v>
      </c>
    </row>
    <row r="13" spans="2:14" x14ac:dyDescent="0.25">
      <c r="B13" s="69" t="s">
        <v>17</v>
      </c>
      <c r="C13" s="45">
        <v>23213</v>
      </c>
      <c r="D13" s="51">
        <f t="shared" si="0"/>
        <v>5.0613453458429731</v>
      </c>
      <c r="E13" s="47">
        <f t="shared" si="7"/>
        <v>25.617216709886325</v>
      </c>
      <c r="F13" s="45">
        <v>26176</v>
      </c>
      <c r="G13" s="51">
        <f t="shared" si="1"/>
        <v>5.5456569684052628</v>
      </c>
      <c r="H13" s="47">
        <f t="shared" si="2"/>
        <v>30.75431121122185</v>
      </c>
      <c r="I13" s="48">
        <f>'HHI - Neživotno'!I12</f>
        <v>24582.68</v>
      </c>
      <c r="J13" s="51">
        <f t="shared" si="3"/>
        <v>5.0362802195785772</v>
      </c>
      <c r="K13" s="47">
        <f t="shared" si="4"/>
        <v>25.364118450118443</v>
      </c>
      <c r="L13" s="48">
        <f>'HHI - Neživotno'!L12</f>
        <v>24483.962</v>
      </c>
      <c r="M13" s="51">
        <f t="shared" si="5"/>
        <v>4.8474193514540875</v>
      </c>
      <c r="N13" s="49">
        <f t="shared" si="6"/>
        <v>23.497474368851567</v>
      </c>
    </row>
    <row r="14" spans="2:14" x14ac:dyDescent="0.25">
      <c r="B14" s="69" t="s">
        <v>9</v>
      </c>
      <c r="C14" s="45">
        <v>18220</v>
      </c>
      <c r="D14" s="51">
        <f t="shared" si="0"/>
        <v>3.9726753199181042</v>
      </c>
      <c r="E14" s="47">
        <f>D14^2</f>
        <v>15.782149197486412</v>
      </c>
      <c r="F14" s="45">
        <v>19394</v>
      </c>
      <c r="G14" s="51">
        <f t="shared" si="1"/>
        <v>4.1088199589414609</v>
      </c>
      <c r="H14" s="47">
        <f>G14^2</f>
        <v>16.882401454995708</v>
      </c>
      <c r="I14" s="48">
        <f>'HHI - Životno'!I8+'HHI - Neživotno'!I25</f>
        <v>20020.95319</v>
      </c>
      <c r="J14" s="51">
        <f t="shared" si="3"/>
        <v>4.1017143178817603</v>
      </c>
      <c r="K14" s="47">
        <f>J14^2</f>
        <v>16.824060345516234</v>
      </c>
      <c r="L14" s="48">
        <f>'HHI - Životno'!L8+'HHI - Neživotno'!L25</f>
        <v>22859.405400000003</v>
      </c>
      <c r="M14" s="51">
        <f t="shared" si="5"/>
        <v>4.5257840254242385</v>
      </c>
      <c r="N14" s="49">
        <f>M14^2</f>
        <v>20.482721044785226</v>
      </c>
    </row>
    <row r="15" spans="2:14" x14ac:dyDescent="0.25">
      <c r="B15" s="69" t="s">
        <v>7</v>
      </c>
      <c r="C15" s="45">
        <v>17991</v>
      </c>
      <c r="D15" s="51">
        <f t="shared" si="0"/>
        <v>3.9227443293439421</v>
      </c>
      <c r="E15" s="47">
        <f t="shared" si="7"/>
        <v>15.387923073400055</v>
      </c>
      <c r="F15" s="45">
        <v>19467</v>
      </c>
      <c r="G15" s="51">
        <f t="shared" si="1"/>
        <v>4.1242857657375174</v>
      </c>
      <c r="H15" s="47">
        <f t="shared" si="2"/>
        <v>17.0097330774651</v>
      </c>
      <c r="I15" s="48">
        <f>'HHI - Životno'!I6+'HHI - Neživotno'!I28</f>
        <v>21129.819390000001</v>
      </c>
      <c r="J15" s="51">
        <f t="shared" si="3"/>
        <v>4.3288889346940556</v>
      </c>
      <c r="K15" s="47">
        <f t="shared" si="4"/>
        <v>18.739279408916634</v>
      </c>
      <c r="L15" s="48">
        <f>'HHI - Životno'!L6+'HHI - Neživotno'!L28</f>
        <v>22616.649379999999</v>
      </c>
      <c r="M15" s="51">
        <f t="shared" si="5"/>
        <v>4.4777223502333516</v>
      </c>
      <c r="N15" s="49">
        <f t="shared" si="6"/>
        <v>20.04999744577929</v>
      </c>
    </row>
    <row r="16" spans="2:14" x14ac:dyDescent="0.25">
      <c r="B16" s="85" t="s">
        <v>14</v>
      </c>
      <c r="C16" s="50">
        <v>19187</v>
      </c>
      <c r="D16" s="51">
        <f t="shared" si="0"/>
        <v>4.1835192844823643</v>
      </c>
      <c r="E16" s="47">
        <f t="shared" si="7"/>
        <v>17.501833603635834</v>
      </c>
      <c r="F16" s="45">
        <v>16039</v>
      </c>
      <c r="G16" s="51">
        <f t="shared" si="1"/>
        <v>3.3980284274240531</v>
      </c>
      <c r="H16" s="47">
        <f t="shared" si="2"/>
        <v>11.546597193581983</v>
      </c>
      <c r="I16" s="48">
        <f>'HHI - Životno'!I15+'HHI - Neživotno'!I14</f>
        <v>17253.226999999999</v>
      </c>
      <c r="J16" s="51">
        <f t="shared" si="3"/>
        <v>3.5346872620885526</v>
      </c>
      <c r="K16" s="47">
        <f t="shared" si="4"/>
        <v>12.494014040771068</v>
      </c>
      <c r="L16" s="83">
        <f>'HHI - Životno'!L15+'HHI - Neživotno'!L14</f>
        <v>18088.951999999997</v>
      </c>
      <c r="M16" s="51">
        <f t="shared" si="5"/>
        <v>3.5813131866617063</v>
      </c>
      <c r="N16" s="49">
        <f t="shared" si="6"/>
        <v>12.825804140957025</v>
      </c>
    </row>
    <row r="17" spans="2:14" x14ac:dyDescent="0.25">
      <c r="B17" s="69" t="s">
        <v>19</v>
      </c>
      <c r="C17" s="45">
        <v>11959</v>
      </c>
      <c r="D17" s="51">
        <f t="shared" si="0"/>
        <v>2.6075315121240732</v>
      </c>
      <c r="E17" s="47">
        <f>D17^2</f>
        <v>6.7992205867200557</v>
      </c>
      <c r="F17" s="45">
        <v>13623</v>
      </c>
      <c r="G17" s="51">
        <f t="shared" si="1"/>
        <v>2.8861737805846923</v>
      </c>
      <c r="H17" s="47">
        <f>G17^2</f>
        <v>8.3299990917345355</v>
      </c>
      <c r="I17" s="48">
        <f>'HHI - Neživotno'!I15</f>
        <v>14066.545</v>
      </c>
      <c r="J17" s="51">
        <f t="shared" si="3"/>
        <v>2.8818282767099408</v>
      </c>
      <c r="K17" s="47">
        <f>J17^2</f>
        <v>8.3049342164449875</v>
      </c>
      <c r="L17" s="83">
        <f>'HHI - Neživotno'!L15</f>
        <v>14922.084000000001</v>
      </c>
      <c r="M17" s="51">
        <f t="shared" si="5"/>
        <v>2.9543257233295583</v>
      </c>
      <c r="N17" s="49">
        <f>M17^2</f>
        <v>8.7280404795267188</v>
      </c>
    </row>
    <row r="18" spans="2:14" x14ac:dyDescent="0.25">
      <c r="B18" s="69" t="s">
        <v>18</v>
      </c>
      <c r="C18" s="45">
        <v>18662</v>
      </c>
      <c r="D18" s="51">
        <f t="shared" si="0"/>
        <v>4.0690486729040432</v>
      </c>
      <c r="E18" s="47">
        <f t="shared" si="7"/>
        <v>16.557157102462156</v>
      </c>
      <c r="F18" s="45">
        <v>15834</v>
      </c>
      <c r="G18" s="51">
        <f t="shared" si="1"/>
        <v>3.3545970521748529</v>
      </c>
      <c r="H18" s="47">
        <f t="shared" si="2"/>
        <v>11.253321382460213</v>
      </c>
      <c r="I18" s="48">
        <f>'HHI - Neživotno'!I16</f>
        <v>16385.739000000001</v>
      </c>
      <c r="J18" s="51">
        <f t="shared" si="3"/>
        <v>3.3569640579821751</v>
      </c>
      <c r="K18" s="47">
        <f t="shared" si="4"/>
        <v>11.269207686584153</v>
      </c>
      <c r="L18" s="83">
        <f>'HHI - Neživotno'!L16</f>
        <v>14884.678</v>
      </c>
      <c r="M18" s="51">
        <f t="shared" si="5"/>
        <v>2.9469199542689588</v>
      </c>
      <c r="N18" s="49">
        <f t="shared" si="6"/>
        <v>8.6843372168685615</v>
      </c>
    </row>
    <row r="19" spans="2:14" x14ac:dyDescent="0.25">
      <c r="B19" s="69" t="s">
        <v>20</v>
      </c>
      <c r="C19" s="45">
        <v>6802</v>
      </c>
      <c r="D19" s="51">
        <f t="shared" si="0"/>
        <v>1.4831030475347391</v>
      </c>
      <c r="E19" s="47">
        <f>D19^2</f>
        <v>2.1995946496068304</v>
      </c>
      <c r="F19" s="45">
        <v>8282</v>
      </c>
      <c r="G19" s="51">
        <f t="shared" si="1"/>
        <v>1.7546275600677106</v>
      </c>
      <c r="H19" s="47">
        <f>G19^2</f>
        <v>3.0787178745491675</v>
      </c>
      <c r="I19" s="48">
        <f>'HHI - Neživotno'!I17</f>
        <v>12056.864</v>
      </c>
      <c r="J19" s="51">
        <f t="shared" si="3"/>
        <v>2.4701027582569939</v>
      </c>
      <c r="K19" s="47">
        <f>J19^2</f>
        <v>6.1014076363488092</v>
      </c>
      <c r="L19" s="48">
        <f>'HHI - Neživotno'!L17</f>
        <v>14700.50144</v>
      </c>
      <c r="M19" s="51">
        <f t="shared" si="5"/>
        <v>2.9104560428714388</v>
      </c>
      <c r="N19" s="49">
        <f>M19^2</f>
        <v>8.470754377486875</v>
      </c>
    </row>
    <row r="20" spans="2:14" x14ac:dyDescent="0.25">
      <c r="B20" s="69" t="s">
        <v>28</v>
      </c>
      <c r="C20" s="50">
        <v>8903</v>
      </c>
      <c r="D20" s="51">
        <f t="shared" si="0"/>
        <v>1.9412035331081716</v>
      </c>
      <c r="E20" s="47">
        <f>D20^2</f>
        <v>3.7682711569516485</v>
      </c>
      <c r="F20" s="45">
        <v>12038</v>
      </c>
      <c r="G20" s="51">
        <f t="shared" si="1"/>
        <v>2.5503750987798961</v>
      </c>
      <c r="H20" s="47">
        <f>G20^2</f>
        <v>6.5044131444765645</v>
      </c>
      <c r="I20" s="48">
        <f>'HHI - Neživotno'!I18</f>
        <v>14357.563</v>
      </c>
      <c r="J20" s="51">
        <f t="shared" si="3"/>
        <v>2.9414494488905705</v>
      </c>
      <c r="K20" s="47">
        <f>J20^2</f>
        <v>8.65212486037864</v>
      </c>
      <c r="L20" s="83">
        <f>'HHI - Neživotno'!L18</f>
        <v>14213.268</v>
      </c>
      <c r="M20" s="51">
        <f t="shared" si="5"/>
        <v>2.8139918837728608</v>
      </c>
      <c r="N20" s="49">
        <f>M20^2</f>
        <v>7.9185503219395335</v>
      </c>
    </row>
    <row r="21" spans="2:14" x14ac:dyDescent="0.25">
      <c r="B21" s="69" t="s">
        <v>21</v>
      </c>
      <c r="C21" s="45">
        <v>12270</v>
      </c>
      <c r="D21" s="51">
        <f t="shared" si="0"/>
        <v>2.6753417220304687</v>
      </c>
      <c r="E21" s="47">
        <f t="shared" si="7"/>
        <v>7.1574533296369536</v>
      </c>
      <c r="F21" s="45">
        <v>11718</v>
      </c>
      <c r="G21" s="51">
        <f t="shared" si="1"/>
        <v>2.4825797813177291</v>
      </c>
      <c r="H21" s="47">
        <f t="shared" si="2"/>
        <v>6.1632023706075838</v>
      </c>
      <c r="I21" s="48">
        <f>'HHI - Neživotno'!I19</f>
        <v>11508.564</v>
      </c>
      <c r="J21" s="51">
        <f t="shared" si="3"/>
        <v>2.3577719446762559</v>
      </c>
      <c r="K21" s="47">
        <f t="shared" si="4"/>
        <v>5.5590885431024537</v>
      </c>
      <c r="L21" s="83">
        <f>'HHI - Neživotno'!L19</f>
        <v>12285.731</v>
      </c>
      <c r="M21" s="51">
        <f t="shared" si="5"/>
        <v>2.4323714518164739</v>
      </c>
      <c r="N21" s="49">
        <f t="shared" si="6"/>
        <v>5.9164308796117808</v>
      </c>
    </row>
    <row r="22" spans="2:14" x14ac:dyDescent="0.25">
      <c r="B22" s="69" t="s">
        <v>10</v>
      </c>
      <c r="C22" s="45">
        <v>7948</v>
      </c>
      <c r="D22" s="51">
        <f t="shared" si="0"/>
        <v>1.7329760396657024</v>
      </c>
      <c r="E22" s="47">
        <f>D22^2</f>
        <v>3.0032059540554221</v>
      </c>
      <c r="F22" s="45">
        <v>8566</v>
      </c>
      <c r="G22" s="51">
        <f t="shared" si="1"/>
        <v>1.8147959043153841</v>
      </c>
      <c r="H22" s="47">
        <f>G22^2</f>
        <v>3.2934841743198926</v>
      </c>
      <c r="I22" s="48">
        <f>'HHI - Životno'!I9+'HHI - Neživotno'!I30</f>
        <v>9443.2129999999997</v>
      </c>
      <c r="J22" s="51">
        <f t="shared" si="3"/>
        <v>1.9346412531573967</v>
      </c>
      <c r="K22" s="47">
        <f>J22^2</f>
        <v>3.7428367784184222</v>
      </c>
      <c r="L22" s="83">
        <f>'HHI - Životno'!L9+'HHI - Neživotno'!L30</f>
        <v>10269.93</v>
      </c>
      <c r="M22" s="51">
        <f t="shared" si="5"/>
        <v>2.033276208322774</v>
      </c>
      <c r="N22" s="49">
        <f>M22^2</f>
        <v>4.1342121393314368</v>
      </c>
    </row>
    <row r="23" spans="2:14" x14ac:dyDescent="0.25">
      <c r="B23" s="69" t="s">
        <v>23</v>
      </c>
      <c r="C23" s="45">
        <v>8346</v>
      </c>
      <c r="D23" s="51">
        <f t="shared" si="0"/>
        <v>1.8197556652050768</v>
      </c>
      <c r="E23" s="47">
        <f>D23^2</f>
        <v>3.3115106810459718</v>
      </c>
      <c r="F23" s="45">
        <v>9474</v>
      </c>
      <c r="G23" s="51">
        <f t="shared" si="1"/>
        <v>2.0071651176142828</v>
      </c>
      <c r="H23" s="47">
        <f>G23^2</f>
        <v>4.0287118093675582</v>
      </c>
      <c r="I23" s="48">
        <f>'HHI - Neživotno'!I20</f>
        <v>9813.9709999999995</v>
      </c>
      <c r="J23" s="51">
        <f t="shared" si="3"/>
        <v>2.0105988453178325</v>
      </c>
      <c r="K23" s="47">
        <f>J23^2</f>
        <v>4.0425077167934012</v>
      </c>
      <c r="L23" s="48">
        <f>'HHI - Neživotno'!L20</f>
        <v>10028.18844</v>
      </c>
      <c r="M23" s="51">
        <f t="shared" si="5"/>
        <v>1.9854153794260987</v>
      </c>
      <c r="N23" s="49">
        <f>M23^2</f>
        <v>3.9418742288616793</v>
      </c>
    </row>
    <row r="24" spans="2:14" x14ac:dyDescent="0.25">
      <c r="B24" s="69" t="s">
        <v>24</v>
      </c>
      <c r="C24" s="45">
        <v>9603</v>
      </c>
      <c r="D24" s="51">
        <f t="shared" si="0"/>
        <v>2.093831015212599</v>
      </c>
      <c r="E24" s="47">
        <f>D24^2</f>
        <v>4.3841283202662229</v>
      </c>
      <c r="F24" s="45">
        <v>8360</v>
      </c>
      <c r="G24" s="51">
        <f t="shared" si="1"/>
        <v>1.7711526686991139</v>
      </c>
      <c r="H24" s="47">
        <f>G24^2</f>
        <v>3.1369817758399932</v>
      </c>
      <c r="I24" s="48">
        <f>'HHI - Neživotno'!I21</f>
        <v>7432.49</v>
      </c>
      <c r="J24" s="51">
        <f t="shared" si="3"/>
        <v>1.5227022590382973</v>
      </c>
      <c r="K24" s="47">
        <f>J24^2</f>
        <v>2.3186221696803337</v>
      </c>
      <c r="L24" s="48">
        <f>'HHI - Neživotno'!L21</f>
        <v>8010.0919999999996</v>
      </c>
      <c r="M24" s="51">
        <f t="shared" si="5"/>
        <v>1.585865676793959</v>
      </c>
      <c r="N24" s="49">
        <f>M24^2</f>
        <v>2.5149699448331613</v>
      </c>
    </row>
    <row r="25" spans="2:14" x14ac:dyDescent="0.25">
      <c r="B25" s="69" t="s">
        <v>25</v>
      </c>
      <c r="C25" s="45">
        <v>7362</v>
      </c>
      <c r="D25" s="51">
        <f t="shared" si="0"/>
        <v>1.6052050332182815</v>
      </c>
      <c r="E25" s="47">
        <f>D25^2</f>
        <v>2.5766831986693042</v>
      </c>
      <c r="F25" s="45">
        <v>6707</v>
      </c>
      <c r="G25" s="51">
        <f t="shared" si="1"/>
        <v>1.4209474819336072</v>
      </c>
      <c r="H25" s="47">
        <f>G25^2</f>
        <v>2.019091746413459</v>
      </c>
      <c r="I25" s="48">
        <f>'HHI - Neživotno'!I22</f>
        <v>6261.2820000000002</v>
      </c>
      <c r="J25" s="51">
        <f t="shared" si="3"/>
        <v>1.2827556102834754</v>
      </c>
      <c r="K25" s="47">
        <f>J25^2</f>
        <v>1.6454619557137313</v>
      </c>
      <c r="L25" s="83">
        <f>'HHI - Neživotno'!L22</f>
        <v>7735.9340000000002</v>
      </c>
      <c r="M25" s="51">
        <f t="shared" si="5"/>
        <v>1.5315869291567936</v>
      </c>
      <c r="N25" s="49">
        <f>M25^2</f>
        <v>2.3457585215639369</v>
      </c>
    </row>
    <row r="26" spans="2:14" x14ac:dyDescent="0.25">
      <c r="B26" s="86" t="s">
        <v>22</v>
      </c>
      <c r="C26" s="45">
        <v>8260</v>
      </c>
      <c r="D26" s="51">
        <f t="shared" si="0"/>
        <v>1.8010042888322471</v>
      </c>
      <c r="E26" s="47">
        <f t="shared" si="7"/>
        <v>3.2436164483921481</v>
      </c>
      <c r="F26" s="45">
        <v>9599</v>
      </c>
      <c r="G26" s="51">
        <f t="shared" si="1"/>
        <v>2.0336476634979417</v>
      </c>
      <c r="H26" s="47">
        <f t="shared" si="2"/>
        <v>4.1357228192506374</v>
      </c>
      <c r="I26" s="48">
        <f>'HHI - Neživotno'!I23</f>
        <v>10181.880999999999</v>
      </c>
      <c r="J26" s="51">
        <f t="shared" si="3"/>
        <v>2.0859729646402645</v>
      </c>
      <c r="K26" s="47">
        <f t="shared" si="4"/>
        <v>4.3512832092100941</v>
      </c>
      <c r="L26" s="83">
        <f>'HHI - Neživotno'!L23</f>
        <v>7530.1909999999998</v>
      </c>
      <c r="M26" s="51">
        <f t="shared" si="5"/>
        <v>1.4908532194889621</v>
      </c>
      <c r="N26" s="49">
        <f t="shared" si="6"/>
        <v>2.2226433220606032</v>
      </c>
    </row>
    <row r="27" spans="2:14" x14ac:dyDescent="0.25">
      <c r="B27" s="69" t="s">
        <v>26</v>
      </c>
      <c r="C27" s="45">
        <v>1739</v>
      </c>
      <c r="D27" s="51">
        <f t="shared" si="0"/>
        <v>0.37917027339942833</v>
      </c>
      <c r="E27" s="47">
        <f>D27^2</f>
        <v>0.14377009622979722</v>
      </c>
      <c r="F27" s="45">
        <v>1803</v>
      </c>
      <c r="G27" s="51">
        <f t="shared" si="1"/>
        <v>0.38198424182589741</v>
      </c>
      <c r="H27" s="47">
        <f>G27^2</f>
        <v>0.14591196100330567</v>
      </c>
      <c r="I27" s="48">
        <f>'HHI - Neživotno'!I24</f>
        <v>4668.8950000000004</v>
      </c>
      <c r="J27" s="51">
        <f t="shared" si="3"/>
        <v>0.95652156460521476</v>
      </c>
      <c r="K27" s="47">
        <f>J27^2</f>
        <v>0.91493350355480807</v>
      </c>
      <c r="L27" s="83">
        <f>'HHI - Neživotno'!L24</f>
        <v>5238.3220000000001</v>
      </c>
      <c r="M27" s="51">
        <f t="shared" si="5"/>
        <v>1.0371010799619635</v>
      </c>
      <c r="N27" s="49">
        <f>M27^2</f>
        <v>1.0755786500582711</v>
      </c>
    </row>
    <row r="28" spans="2:14" x14ac:dyDescent="0.25">
      <c r="B28" s="69" t="s">
        <v>27</v>
      </c>
      <c r="C28" s="45">
        <v>1529</v>
      </c>
      <c r="D28" s="51">
        <f t="shared" ref="D28" si="8">C28/C$32*100</f>
        <v>0.33338202876810002</v>
      </c>
      <c r="E28" s="47">
        <f>D28^2</f>
        <v>0.11114357710553427</v>
      </c>
      <c r="F28" s="45">
        <v>2220</v>
      </c>
      <c r="G28" s="51">
        <f t="shared" si="1"/>
        <v>0.47033001489378384</v>
      </c>
      <c r="H28" s="47">
        <f>G28^2</f>
        <v>0.22121032290998693</v>
      </c>
      <c r="I28" s="48">
        <f>'HHI - Neživotno'!I26</f>
        <v>2762.0590000000002</v>
      </c>
      <c r="J28" s="51">
        <f t="shared" si="3"/>
        <v>0.56586601245303547</v>
      </c>
      <c r="K28" s="47">
        <f>J28^2</f>
        <v>0.32020434404949888</v>
      </c>
      <c r="L28" s="83">
        <f>'HHI - Neživotno'!L26</f>
        <v>3749.2460000000001</v>
      </c>
      <c r="M28" s="51">
        <f t="shared" si="5"/>
        <v>0.74228867099866569</v>
      </c>
      <c r="N28" s="49">
        <f>M28^2</f>
        <v>0.55099247109296534</v>
      </c>
    </row>
    <row r="29" spans="2:14" x14ac:dyDescent="0.25">
      <c r="B29" s="69" t="s">
        <v>39</v>
      </c>
      <c r="C29" s="45">
        <v>10032</v>
      </c>
      <c r="D29" s="51">
        <f>C29/C$32*100</f>
        <v>2.1873698578165985</v>
      </c>
      <c r="E29" s="47">
        <f t="shared" si="7"/>
        <v>4.7845868948846064</v>
      </c>
      <c r="F29" s="45">
        <v>7514</v>
      </c>
      <c r="G29" s="51">
        <f t="shared" si="1"/>
        <v>1.5919187981585097</v>
      </c>
      <c r="H29" s="47">
        <f t="shared" si="2"/>
        <v>2.5342054599304338</v>
      </c>
      <c r="I29" s="48">
        <f>'HHI - Neživotno'!I27</f>
        <v>6366.183</v>
      </c>
      <c r="J29" s="51">
        <f t="shared" si="3"/>
        <v>1.3042467915262861</v>
      </c>
      <c r="K29" s="47">
        <f t="shared" si="4"/>
        <v>1.7010596932066115</v>
      </c>
      <c r="L29" s="48">
        <f>'HHI - Neživotno'!L27</f>
        <v>1316.48305</v>
      </c>
      <c r="M29" s="51">
        <f t="shared" si="5"/>
        <v>0.26064186067725886</v>
      </c>
      <c r="N29" s="49">
        <f t="shared" si="6"/>
        <v>6.7934179537303616E-2</v>
      </c>
    </row>
    <row r="30" spans="2:14" x14ac:dyDescent="0.25">
      <c r="B30" s="69" t="s">
        <v>41</v>
      </c>
      <c r="C30" s="45">
        <v>390</v>
      </c>
      <c r="D30" s="51">
        <f>C30/C$32*100</f>
        <v>8.5035311458181162E-2</v>
      </c>
      <c r="E30" s="47">
        <f>D30^2</f>
        <v>7.2310041947898761E-3</v>
      </c>
      <c r="F30" s="52">
        <v>312</v>
      </c>
      <c r="G30" s="51">
        <f t="shared" si="1"/>
        <v>6.6100434525612858E-2</v>
      </c>
      <c r="H30" s="47">
        <f>G30^2</f>
        <v>4.3692674444748324E-3</v>
      </c>
      <c r="I30" s="48">
        <f>'HHI - Životno'!I16</f>
        <v>213.01796999999999</v>
      </c>
      <c r="J30" s="51">
        <f t="shared" si="3"/>
        <v>4.3641221735212864E-2</v>
      </c>
      <c r="K30" s="47">
        <f>J30^2</f>
        <v>1.9045562345420158E-3</v>
      </c>
      <c r="L30" s="48">
        <f>'HHI - Životno'!L16</f>
        <v>147.40965</v>
      </c>
      <c r="M30" s="51">
        <f t="shared" si="5"/>
        <v>2.9184671582200384E-2</v>
      </c>
      <c r="N30" s="49">
        <f>M30^2</f>
        <v>8.5174505536089469E-4</v>
      </c>
    </row>
    <row r="31" spans="2:14" x14ac:dyDescent="0.25">
      <c r="B31" s="69" t="s">
        <v>15</v>
      </c>
      <c r="C31" s="45">
        <v>7243</v>
      </c>
      <c r="D31" s="51">
        <f>C31/C$32*100</f>
        <v>1.5792583612605284</v>
      </c>
      <c r="E31" s="47">
        <f>D31^2</f>
        <v>2.4940569716112897</v>
      </c>
      <c r="F31" s="45">
        <v>1424</v>
      </c>
      <c r="G31" s="51">
        <f t="shared" si="1"/>
        <v>0.30168916270664331</v>
      </c>
      <c r="H31" s="47">
        <f t="shared" si="2"/>
        <v>9.10163508946355E-2</v>
      </c>
      <c r="I31" s="48">
        <v>0</v>
      </c>
      <c r="J31" s="51">
        <f t="shared" si="3"/>
        <v>0</v>
      </c>
      <c r="K31" s="47">
        <f t="shared" si="4"/>
        <v>0</v>
      </c>
      <c r="L31" s="48">
        <v>0</v>
      </c>
      <c r="M31" s="51">
        <f t="shared" si="5"/>
        <v>0</v>
      </c>
      <c r="N31" s="49">
        <f t="shared" si="6"/>
        <v>0</v>
      </c>
    </row>
    <row r="32" spans="2:14" ht="16.5" thickBot="1" x14ac:dyDescent="0.3">
      <c r="B32" s="15" t="s">
        <v>6</v>
      </c>
      <c r="C32" s="53">
        <f t="shared" ref="C32:N32" si="9">SUM(C6:C31)</f>
        <v>458633</v>
      </c>
      <c r="D32" s="54">
        <f>SUM(D6:D31)</f>
        <v>100</v>
      </c>
      <c r="E32" s="54">
        <f t="shared" si="9"/>
        <v>622.68097521065704</v>
      </c>
      <c r="F32" s="53">
        <f t="shared" si="9"/>
        <v>472009</v>
      </c>
      <c r="G32" s="54">
        <f t="shared" si="9"/>
        <v>100.00000000000003</v>
      </c>
      <c r="H32" s="54">
        <f t="shared" si="9"/>
        <v>643.02053062826383</v>
      </c>
      <c r="I32" s="53">
        <f t="shared" si="9"/>
        <v>488111.83906000009</v>
      </c>
      <c r="J32" s="54">
        <f t="shared" si="9"/>
        <v>99.999999999999957</v>
      </c>
      <c r="K32" s="54">
        <f t="shared" si="9"/>
        <v>636.76559576579291</v>
      </c>
      <c r="L32" s="55">
        <f t="shared" si="9"/>
        <v>505092.7147999999</v>
      </c>
      <c r="M32" s="56">
        <f t="shared" si="9"/>
        <v>100.00000000000001</v>
      </c>
      <c r="N32" s="57">
        <f t="shared" si="9"/>
        <v>640.61210821122734</v>
      </c>
    </row>
    <row r="34" spans="2:12" ht="16.5" thickBot="1" x14ac:dyDescent="0.3">
      <c r="B34" s="8"/>
      <c r="L34" s="84"/>
    </row>
    <row r="35" spans="2:12" x14ac:dyDescent="0.25">
      <c r="B35" s="99"/>
      <c r="C35" s="100"/>
      <c r="D35" s="72" t="s">
        <v>3</v>
      </c>
      <c r="E35" s="72" t="s">
        <v>4</v>
      </c>
      <c r="F35" s="72" t="s">
        <v>5</v>
      </c>
      <c r="G35" s="73" t="s">
        <v>37</v>
      </c>
      <c r="I35" s="79" t="s">
        <v>51</v>
      </c>
      <c r="L35" s="80"/>
    </row>
    <row r="36" spans="2:12" x14ac:dyDescent="0.25">
      <c r="B36" s="107" t="s">
        <v>32</v>
      </c>
      <c r="C36" s="108"/>
      <c r="D36" s="33">
        <f>(D6+D7+D8+D10)/100</f>
        <v>0.37815857123233604</v>
      </c>
      <c r="E36" s="33">
        <f>(G6+G7+G8+G10)/100</f>
        <v>0.38539307513204202</v>
      </c>
      <c r="F36" s="33">
        <f>SUM(J6:J9)/100</f>
        <v>0.38198608980488336</v>
      </c>
      <c r="G36" s="74">
        <f>(M6+M7+M8+M9)/100</f>
        <v>0.38058227303103448</v>
      </c>
      <c r="I36" s="68" t="s">
        <v>48</v>
      </c>
    </row>
    <row r="37" spans="2:12" ht="16.5" thickBot="1" x14ac:dyDescent="0.3">
      <c r="B37" s="101" t="s">
        <v>0</v>
      </c>
      <c r="C37" s="102"/>
      <c r="D37" s="75">
        <f>E32</f>
        <v>622.68097521065704</v>
      </c>
      <c r="E37" s="75">
        <f>H32</f>
        <v>643.02053062826383</v>
      </c>
      <c r="F37" s="75">
        <f>K32</f>
        <v>636.76559576579291</v>
      </c>
      <c r="G37" s="76">
        <f>N32</f>
        <v>640.61210821122734</v>
      </c>
      <c r="I37" s="68" t="s">
        <v>40</v>
      </c>
    </row>
    <row r="39" spans="2:12" x14ac:dyDescent="0.25">
      <c r="I39" s="68" t="s">
        <v>52</v>
      </c>
    </row>
    <row r="40" spans="2:12" x14ac:dyDescent="0.25">
      <c r="I40" s="79" t="s">
        <v>46</v>
      </c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2018-03-07T12:01:52Z</cp:lastPrinted>
  <dcterms:created xsi:type="dcterms:W3CDTF">2011-07-19T10:02:04Z</dcterms:created>
  <dcterms:modified xsi:type="dcterms:W3CDTF">2020-02-06T15:02:57Z</dcterms:modified>
</cp:coreProperties>
</file>