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/>
  </bookViews>
  <sheets>
    <sheet name="Kapital" sheetId="8" r:id="rId1"/>
    <sheet name="Ukupni prihod" sheetId="4" r:id="rId2"/>
    <sheet name="Dobit" sheetId="6" r:id="rId3"/>
    <sheet name="Poslovni pokazatelji" sheetId="9" r:id="rId4"/>
  </sheets>
  <calcPr calcId="145621"/>
</workbook>
</file>

<file path=xl/calcChain.xml><?xml version="1.0" encoding="utf-8"?>
<calcChain xmlns="http://schemas.openxmlformats.org/spreadsheetml/2006/main">
  <c r="E20" i="6" l="1"/>
  <c r="E28" i="6"/>
  <c r="E29" i="6"/>
  <c r="E30" i="6"/>
  <c r="E31" i="6"/>
  <c r="E32" i="6"/>
  <c r="E33" i="6"/>
  <c r="E34" i="6"/>
  <c r="E26" i="6"/>
  <c r="E27" i="6"/>
  <c r="CC9" i="9" l="1"/>
  <c r="BZ8" i="9"/>
  <c r="CC8" i="9"/>
  <c r="CC7" i="9"/>
  <c r="BZ9" i="9"/>
  <c r="BZ7" i="9"/>
  <c r="BW9" i="9"/>
  <c r="BW8" i="9"/>
  <c r="BW7" i="9"/>
  <c r="BT9" i="9"/>
  <c r="BT8" i="9"/>
  <c r="BT7" i="9"/>
  <c r="BQ9" i="9"/>
  <c r="BQ8" i="9"/>
  <c r="BQ7" i="9"/>
  <c r="BN8" i="9"/>
  <c r="BN7" i="9"/>
  <c r="BK9" i="9"/>
  <c r="BK8" i="9"/>
  <c r="BK7" i="9"/>
  <c r="BH9" i="9"/>
  <c r="BH8" i="9"/>
  <c r="BH7" i="9"/>
  <c r="BE9" i="9"/>
  <c r="BE8" i="9"/>
  <c r="BE7" i="9"/>
  <c r="BB9" i="9"/>
  <c r="BB8" i="9"/>
  <c r="BB7" i="9"/>
  <c r="AY7" i="9"/>
  <c r="AY8" i="9"/>
  <c r="AV9" i="9"/>
  <c r="AV8" i="9"/>
  <c r="AV7" i="9"/>
  <c r="AS9" i="9"/>
  <c r="AS8" i="9"/>
  <c r="AS7" i="9"/>
  <c r="AP9" i="9"/>
  <c r="AP8" i="9"/>
  <c r="AP7" i="9"/>
  <c r="AM9" i="9"/>
  <c r="AM8" i="9"/>
  <c r="AM7" i="9"/>
  <c r="AJ9" i="9"/>
  <c r="AJ8" i="9"/>
  <c r="AJ7" i="9"/>
  <c r="AG7" i="9"/>
  <c r="AG9" i="9"/>
  <c r="AG8" i="9"/>
  <c r="AD8" i="9"/>
  <c r="AD7" i="9"/>
  <c r="AA9" i="9"/>
  <c r="AA8" i="9"/>
  <c r="AA7" i="9"/>
  <c r="U9" i="9"/>
  <c r="U8" i="9"/>
  <c r="U7" i="9"/>
  <c r="R9" i="9"/>
  <c r="R8" i="9"/>
  <c r="R7" i="9"/>
  <c r="O8" i="9"/>
  <c r="O9" i="9"/>
  <c r="O7" i="9"/>
  <c r="L9" i="9"/>
  <c r="L8" i="9"/>
  <c r="L7" i="9"/>
  <c r="I8" i="9"/>
  <c r="I9" i="9"/>
  <c r="I7" i="9"/>
  <c r="F9" i="9"/>
  <c r="F8" i="9"/>
  <c r="F7" i="9"/>
  <c r="BX12" i="9"/>
  <c r="BX11" i="9"/>
  <c r="BX10" i="9"/>
  <c r="BU12" i="9"/>
  <c r="BU11" i="9"/>
  <c r="BU10" i="9"/>
  <c r="BR12" i="9"/>
  <c r="BR11" i="9"/>
  <c r="BR10" i="9"/>
  <c r="BO12" i="9"/>
  <c r="BO11" i="9"/>
  <c r="BO10" i="9"/>
  <c r="CA12" i="9"/>
  <c r="CA11" i="9"/>
  <c r="CA10" i="9"/>
  <c r="BL12" i="9"/>
  <c r="BL11" i="9"/>
  <c r="BL10" i="9"/>
  <c r="BI12" i="9"/>
  <c r="BI11" i="9"/>
  <c r="BI10" i="9"/>
  <c r="BF12" i="9"/>
  <c r="BF11" i="9"/>
  <c r="BF10" i="9"/>
  <c r="BC12" i="9"/>
  <c r="BC11" i="9"/>
  <c r="BC10" i="9"/>
  <c r="AZ12" i="9"/>
  <c r="AZ11" i="9"/>
  <c r="AZ10" i="9"/>
  <c r="AW12" i="9"/>
  <c r="AW11" i="9"/>
  <c r="AW10" i="9"/>
  <c r="AT12" i="9"/>
  <c r="AT11" i="9"/>
  <c r="AT10" i="9"/>
  <c r="AQ12" i="9"/>
  <c r="AQ11" i="9"/>
  <c r="AQ10" i="9"/>
  <c r="AN12" i="9"/>
  <c r="AN11" i="9"/>
  <c r="AN10" i="9"/>
  <c r="AK12" i="9"/>
  <c r="AK11" i="9"/>
  <c r="AK10" i="9"/>
  <c r="AH12" i="9"/>
  <c r="AH11" i="9"/>
  <c r="AH10" i="9"/>
  <c r="AE12" i="9"/>
  <c r="AE11" i="9"/>
  <c r="AE10" i="9"/>
  <c r="AB12" i="9"/>
  <c r="AB11" i="9"/>
  <c r="AB10" i="9"/>
  <c r="Y12" i="9"/>
  <c r="Y11" i="9"/>
  <c r="Y10" i="9"/>
  <c r="V12" i="9"/>
  <c r="V11" i="9"/>
  <c r="V10" i="9"/>
  <c r="S12" i="9"/>
  <c r="S11" i="9"/>
  <c r="S10" i="9"/>
  <c r="P12" i="9"/>
  <c r="P11" i="9"/>
  <c r="P10" i="9"/>
  <c r="M12" i="9"/>
  <c r="M11" i="9"/>
  <c r="M10" i="9"/>
  <c r="J12" i="9"/>
  <c r="J11" i="9"/>
  <c r="J10" i="9"/>
  <c r="G12" i="9"/>
  <c r="G11" i="9"/>
  <c r="G10" i="9"/>
  <c r="D12" i="9"/>
  <c r="D11" i="9"/>
  <c r="D10" i="9"/>
  <c r="CB12" i="9"/>
  <c r="CC12" i="9" s="1"/>
  <c r="CB11" i="9"/>
  <c r="CC11" i="9" s="1"/>
  <c r="CB10" i="9"/>
  <c r="CC10" i="9" s="1"/>
  <c r="BY12" i="9"/>
  <c r="BZ12" i="9" s="1"/>
  <c r="BY11" i="9"/>
  <c r="BZ11" i="9" s="1"/>
  <c r="BY10" i="9"/>
  <c r="BZ10" i="9" s="1"/>
  <c r="BV12" i="9"/>
  <c r="BW12" i="9" s="1"/>
  <c r="BV11" i="9"/>
  <c r="BW11" i="9" s="1"/>
  <c r="BV10" i="9"/>
  <c r="BW10" i="9" s="1"/>
  <c r="BS12" i="9"/>
  <c r="BT12" i="9" s="1"/>
  <c r="BS11" i="9"/>
  <c r="BT11" i="9" s="1"/>
  <c r="BS10" i="9"/>
  <c r="BT10" i="9" s="1"/>
  <c r="BP12" i="9"/>
  <c r="BQ12" i="9" s="1"/>
  <c r="BP11" i="9"/>
  <c r="BQ11" i="9" s="1"/>
  <c r="BP10" i="9"/>
  <c r="BQ10" i="9" s="1"/>
  <c r="BM12" i="9"/>
  <c r="BN12" i="9" s="1"/>
  <c r="BM11" i="9"/>
  <c r="BM10" i="9"/>
  <c r="BJ12" i="9"/>
  <c r="BK12" i="9" s="1"/>
  <c r="BJ11" i="9"/>
  <c r="BK11" i="9" s="1"/>
  <c r="BJ10" i="9"/>
  <c r="BK10" i="9" s="1"/>
  <c r="BG12" i="9"/>
  <c r="BH12" i="9" s="1"/>
  <c r="BG11" i="9"/>
  <c r="BH11" i="9" s="1"/>
  <c r="BG10" i="9"/>
  <c r="BH10" i="9" s="1"/>
  <c r="BD12" i="9"/>
  <c r="BE12" i="9" s="1"/>
  <c r="BD11" i="9"/>
  <c r="BE11" i="9" s="1"/>
  <c r="BD10" i="9"/>
  <c r="BE10" i="9" s="1"/>
  <c r="BA12" i="9"/>
  <c r="BB12" i="9" s="1"/>
  <c r="BA11" i="9"/>
  <c r="BB11" i="9" s="1"/>
  <c r="BA10" i="9"/>
  <c r="BB10" i="9" s="1"/>
  <c r="AX12" i="9"/>
  <c r="AY12" i="9" s="1"/>
  <c r="AX11" i="9"/>
  <c r="AX10" i="9"/>
  <c r="AU12" i="9"/>
  <c r="AV12" i="9" s="1"/>
  <c r="AU11" i="9"/>
  <c r="AV11" i="9" s="1"/>
  <c r="AU10" i="9"/>
  <c r="AV10" i="9" s="1"/>
  <c r="AR12" i="9"/>
  <c r="AS12" i="9" s="1"/>
  <c r="AR11" i="9"/>
  <c r="AS11" i="9" s="1"/>
  <c r="AR10" i="9"/>
  <c r="AS10" i="9" s="1"/>
  <c r="AO12" i="9"/>
  <c r="AP12" i="9" s="1"/>
  <c r="AO11" i="9"/>
  <c r="AP11" i="9" s="1"/>
  <c r="AO10" i="9"/>
  <c r="AP10" i="9" s="1"/>
  <c r="AL12" i="9"/>
  <c r="AM12" i="9" s="1"/>
  <c r="AL11" i="9"/>
  <c r="AM11" i="9" s="1"/>
  <c r="AL10" i="9"/>
  <c r="AM10" i="9" s="1"/>
  <c r="AI12" i="9"/>
  <c r="AJ12" i="9" s="1"/>
  <c r="AI11" i="9"/>
  <c r="AJ11" i="9" s="1"/>
  <c r="AI10" i="9"/>
  <c r="AJ10" i="9" s="1"/>
  <c r="AF12" i="9"/>
  <c r="AG12" i="9" s="1"/>
  <c r="AF11" i="9"/>
  <c r="AG11" i="9" s="1"/>
  <c r="AF10" i="9"/>
  <c r="AG10" i="9" s="1"/>
  <c r="AC12" i="9"/>
  <c r="AD12" i="9" s="1"/>
  <c r="AC11" i="9"/>
  <c r="AC10" i="9"/>
  <c r="Z12" i="9"/>
  <c r="AA12" i="9" s="1"/>
  <c r="Z11" i="9"/>
  <c r="AA11" i="9" s="1"/>
  <c r="Z10" i="9"/>
  <c r="AA10" i="9" s="1"/>
  <c r="T12" i="9"/>
  <c r="U12" i="9" s="1"/>
  <c r="T11" i="9"/>
  <c r="U11" i="9" s="1"/>
  <c r="T10" i="9"/>
  <c r="U10" i="9" s="1"/>
  <c r="Q12" i="9"/>
  <c r="R12" i="9" s="1"/>
  <c r="Q11" i="9"/>
  <c r="R11" i="9" s="1"/>
  <c r="Q10" i="9"/>
  <c r="R10" i="9" s="1"/>
  <c r="N12" i="9"/>
  <c r="O12" i="9" s="1"/>
  <c r="N11" i="9"/>
  <c r="O11" i="9" s="1"/>
  <c r="N10" i="9"/>
  <c r="O10" i="9" s="1"/>
  <c r="K12" i="9"/>
  <c r="L12" i="9" s="1"/>
  <c r="K11" i="9"/>
  <c r="L11" i="9" s="1"/>
  <c r="K10" i="9"/>
  <c r="L10" i="9" s="1"/>
  <c r="H12" i="9"/>
  <c r="I12" i="9" s="1"/>
  <c r="H11" i="9"/>
  <c r="I11" i="9" s="1"/>
  <c r="H10" i="9"/>
  <c r="I10" i="9" s="1"/>
  <c r="E12" i="9"/>
  <c r="F12" i="9" s="1"/>
  <c r="E11" i="9"/>
  <c r="F11" i="9" s="1"/>
  <c r="E10" i="9"/>
  <c r="F10" i="9" s="1"/>
  <c r="I31" i="8"/>
  <c r="I21" i="8"/>
  <c r="I20" i="8"/>
  <c r="I15" i="8"/>
  <c r="I9" i="8"/>
  <c r="I7" i="8"/>
  <c r="F23" i="8"/>
  <c r="I23" i="8" s="1"/>
  <c r="G20" i="8"/>
  <c r="G14" i="8"/>
  <c r="G12" i="8"/>
  <c r="G9" i="8"/>
  <c r="G7" i="8"/>
  <c r="I35" i="8"/>
  <c r="I34" i="8"/>
  <c r="I33" i="8"/>
  <c r="I32" i="8"/>
  <c r="I30" i="8"/>
  <c r="I29" i="8"/>
  <c r="I28" i="8"/>
  <c r="I27" i="8"/>
  <c r="I26" i="8"/>
  <c r="I25" i="8"/>
  <c r="I19" i="8"/>
  <c r="I18" i="8"/>
  <c r="I17" i="8"/>
  <c r="I16" i="8"/>
  <c r="I14" i="8"/>
  <c r="I13" i="8"/>
  <c r="I12" i="8"/>
  <c r="I11" i="8"/>
  <c r="I10" i="8"/>
  <c r="I8" i="8"/>
  <c r="F36" i="8"/>
  <c r="I36" i="8"/>
  <c r="C36" i="8"/>
  <c r="D26" i="8"/>
  <c r="C23" i="8"/>
  <c r="D7" i="8"/>
  <c r="D35" i="6"/>
  <c r="E35" i="6"/>
  <c r="C35" i="6"/>
  <c r="D22" i="6"/>
  <c r="D36" i="6" s="1"/>
  <c r="C22" i="6"/>
  <c r="C36" i="6"/>
  <c r="E36" i="6" s="1"/>
  <c r="E25" i="6"/>
  <c r="E24" i="6"/>
  <c r="E10" i="6"/>
  <c r="E8" i="6"/>
  <c r="E6" i="6"/>
  <c r="E7" i="6"/>
  <c r="E9" i="6"/>
  <c r="E11" i="6"/>
  <c r="E12" i="6"/>
  <c r="E13" i="6"/>
  <c r="E14" i="6"/>
  <c r="E15" i="6"/>
  <c r="E16" i="6"/>
  <c r="E17" i="6"/>
  <c r="E18" i="6"/>
  <c r="E19" i="6"/>
  <c r="I10" i="4"/>
  <c r="I7" i="4"/>
  <c r="F23" i="4"/>
  <c r="C23" i="4"/>
  <c r="I23" i="4" s="1"/>
  <c r="I21" i="4"/>
  <c r="I25" i="4"/>
  <c r="F36" i="4"/>
  <c r="F37" i="4" s="1"/>
  <c r="C36" i="4"/>
  <c r="I36" i="4"/>
  <c r="I35" i="4"/>
  <c r="I34" i="4"/>
  <c r="I27" i="4"/>
  <c r="I30" i="4"/>
  <c r="I33" i="4"/>
  <c r="I32" i="4"/>
  <c r="I31" i="4"/>
  <c r="I29" i="4"/>
  <c r="I28" i="4"/>
  <c r="I26" i="4"/>
  <c r="I8" i="4"/>
  <c r="I9" i="4"/>
  <c r="I11" i="4"/>
  <c r="I12" i="4"/>
  <c r="I13" i="4"/>
  <c r="I14" i="4"/>
  <c r="I15" i="4"/>
  <c r="I16" i="4"/>
  <c r="I17" i="4"/>
  <c r="I18" i="4"/>
  <c r="I19" i="4"/>
  <c r="I20" i="4"/>
  <c r="H20" i="4"/>
  <c r="H36" i="4"/>
  <c r="H35" i="4"/>
  <c r="H14" i="4"/>
  <c r="H25" i="4"/>
  <c r="H33" i="4"/>
  <c r="H31" i="4"/>
  <c r="H29" i="4"/>
  <c r="H26" i="4"/>
  <c r="H19" i="4"/>
  <c r="H18" i="4"/>
  <c r="H17" i="4"/>
  <c r="H16" i="4"/>
  <c r="H15" i="4"/>
  <c r="H13" i="4"/>
  <c r="H12" i="4"/>
  <c r="H11" i="4"/>
  <c r="H10" i="4"/>
  <c r="H9" i="4"/>
  <c r="H8" i="4"/>
  <c r="D7" i="4"/>
  <c r="G25" i="4"/>
  <c r="G26" i="4"/>
  <c r="G27" i="4"/>
  <c r="G28" i="4"/>
  <c r="G29" i="4"/>
  <c r="G30" i="4"/>
  <c r="G31" i="4"/>
  <c r="G32" i="4"/>
  <c r="G33" i="4"/>
  <c r="G34" i="4"/>
  <c r="G35" i="4"/>
  <c r="G36" i="4"/>
  <c r="D25" i="4"/>
  <c r="D26" i="4"/>
  <c r="D36" i="4" s="1"/>
  <c r="D27" i="4"/>
  <c r="D28" i="4"/>
  <c r="D29" i="4"/>
  <c r="D30" i="4"/>
  <c r="D31" i="4"/>
  <c r="D32" i="4"/>
  <c r="D33" i="4"/>
  <c r="D34" i="4"/>
  <c r="D3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3" i="4"/>
  <c r="D9" i="4"/>
  <c r="D11" i="4"/>
  <c r="D13" i="4"/>
  <c r="D15" i="4"/>
  <c r="D17" i="4"/>
  <c r="D19" i="4"/>
  <c r="D21" i="4"/>
  <c r="D21" i="8"/>
  <c r="D19" i="8"/>
  <c r="D17" i="8"/>
  <c r="D15" i="8"/>
  <c r="D12" i="8"/>
  <c r="D10" i="8"/>
  <c r="D8" i="8"/>
  <c r="D14" i="8"/>
  <c r="G16" i="8"/>
  <c r="G19" i="8"/>
  <c r="G21" i="8"/>
  <c r="G11" i="8"/>
  <c r="G17" i="8"/>
  <c r="D35" i="8"/>
  <c r="D33" i="8"/>
  <c r="D31" i="8"/>
  <c r="D29" i="8"/>
  <c r="D27" i="8"/>
  <c r="G34" i="8"/>
  <c r="G32" i="8"/>
  <c r="G29" i="8"/>
  <c r="G26" i="8"/>
  <c r="G28" i="8"/>
  <c r="C37" i="8"/>
  <c r="I37" i="8" s="1"/>
  <c r="F37" i="8"/>
  <c r="C37" i="4"/>
  <c r="E36" i="4" s="1"/>
  <c r="E22" i="6"/>
  <c r="D22" i="8"/>
  <c r="D20" i="8"/>
  <c r="D18" i="8"/>
  <c r="D16" i="8"/>
  <c r="D13" i="8"/>
  <c r="D11" i="8"/>
  <c r="D9" i="8"/>
  <c r="D23" i="8" s="1"/>
  <c r="G15" i="8"/>
  <c r="D25" i="8"/>
  <c r="D36" i="8" s="1"/>
  <c r="D34" i="8"/>
  <c r="D32" i="8"/>
  <c r="D30" i="8"/>
  <c r="D28" i="8"/>
  <c r="G35" i="8"/>
  <c r="G33" i="8"/>
  <c r="G30" i="8"/>
  <c r="G27" i="8"/>
  <c r="G25" i="8"/>
  <c r="G36" i="8"/>
  <c r="G31" i="8"/>
  <c r="H20" i="8"/>
  <c r="H32" i="8"/>
  <c r="H25" i="8"/>
  <c r="H36" i="8" s="1"/>
  <c r="H33" i="8"/>
  <c r="H30" i="8"/>
  <c r="H27" i="8"/>
  <c r="H21" i="8"/>
  <c r="H10" i="8"/>
  <c r="H19" i="8"/>
  <c r="H16" i="8"/>
  <c r="H14" i="8"/>
  <c r="H12" i="8"/>
  <c r="H9" i="8"/>
  <c r="H35" i="8"/>
  <c r="H28" i="8"/>
  <c r="H34" i="8"/>
  <c r="H31" i="8"/>
  <c r="H29" i="8"/>
  <c r="H26" i="8"/>
  <c r="H18" i="8"/>
  <c r="H7" i="8"/>
  <c r="H17" i="8"/>
  <c r="H15" i="8"/>
  <c r="H13" i="8"/>
  <c r="H11" i="8"/>
  <c r="H8" i="8"/>
  <c r="E26" i="4"/>
  <c r="E30" i="4"/>
  <c r="E34" i="4"/>
  <c r="E9" i="4"/>
  <c r="E13" i="4"/>
  <c r="E17" i="4"/>
  <c r="E21" i="4"/>
  <c r="I37" i="4"/>
  <c r="E29" i="4"/>
  <c r="E33" i="4"/>
  <c r="E8" i="4"/>
  <c r="E12" i="4"/>
  <c r="E16" i="4"/>
  <c r="E20" i="4"/>
  <c r="E28" i="8"/>
  <c r="E32" i="8"/>
  <c r="E27" i="8"/>
  <c r="E17" i="8"/>
  <c r="E9" i="8"/>
  <c r="E15" i="8"/>
  <c r="E7" i="8"/>
  <c r="E25" i="8"/>
  <c r="E31" i="8"/>
  <c r="E26" i="8"/>
  <c r="E20" i="8"/>
  <c r="E8" i="8"/>
  <c r="E14" i="8"/>
  <c r="E19" i="8"/>
  <c r="H23" i="8"/>
  <c r="H37" i="8" s="1"/>
  <c r="E16" i="8" l="1"/>
  <c r="E11" i="8"/>
  <c r="E13" i="8"/>
  <c r="E22" i="8"/>
  <c r="E29" i="8"/>
  <c r="E34" i="8"/>
  <c r="E33" i="8"/>
  <c r="E18" i="8"/>
  <c r="E12" i="8"/>
  <c r="E10" i="8"/>
  <c r="E21" i="8"/>
  <c r="E30" i="8"/>
  <c r="E35" i="8"/>
  <c r="E22" i="4"/>
  <c r="E18" i="4"/>
  <c r="E14" i="4"/>
  <c r="E10" i="4"/>
  <c r="E35" i="4"/>
  <c r="E31" i="4"/>
  <c r="E27" i="4"/>
  <c r="E23" i="4"/>
  <c r="E37" i="4" s="1"/>
  <c r="E7" i="4"/>
  <c r="E19" i="4"/>
  <c r="E15" i="4"/>
  <c r="E11" i="4"/>
  <c r="E25" i="4"/>
  <c r="E32" i="4"/>
  <c r="E28" i="4"/>
  <c r="D22" i="4"/>
  <c r="D20" i="4"/>
  <c r="D18" i="4"/>
  <c r="D16" i="4"/>
  <c r="D14" i="4"/>
  <c r="D12" i="4"/>
  <c r="D10" i="4"/>
  <c r="D8" i="4"/>
  <c r="H23" i="4"/>
  <c r="H37" i="4" s="1"/>
  <c r="H28" i="4"/>
  <c r="H7" i="4"/>
  <c r="H34" i="4"/>
  <c r="H32" i="4"/>
  <c r="H30" i="4"/>
  <c r="H27" i="4"/>
  <c r="H21" i="4"/>
  <c r="G8" i="8"/>
  <c r="G23" i="8" s="1"/>
  <c r="G10" i="8"/>
  <c r="G13" i="8"/>
  <c r="G18" i="8"/>
  <c r="D23" i="4" l="1"/>
  <c r="E23" i="8"/>
  <c r="E36" i="8"/>
  <c r="E37" i="8" l="1"/>
</calcChain>
</file>

<file path=xl/sharedStrings.xml><?xml version="1.0" encoding="utf-8"?>
<sst xmlns="http://schemas.openxmlformats.org/spreadsheetml/2006/main" count="277" uniqueCount="94">
  <si>
    <t xml:space="preserve"> </t>
  </si>
  <si>
    <t>-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</si>
  <si>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</si>
  <si>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</si>
  <si>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</si>
  <si>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</si>
  <si>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</si>
  <si>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</si>
  <si>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HERCEGOVINA OSIGURANJE d.d.</t>
  </si>
  <si>
    <t>LIDO OSIGURANJE d.d.</t>
  </si>
  <si>
    <t>LOK OSIGURANJE d.d.</t>
  </si>
  <si>
    <t>SARAJEVO OSIGURANJE d.d.</t>
  </si>
  <si>
    <t>TRIGLAV BH OSIGURANJE d.d.</t>
  </si>
  <si>
    <t>UNIQA OSIGURANJE d.d.</t>
  </si>
  <si>
    <t>D.D. ZA OSIGURANJE VGT VISOKO</t>
  </si>
  <si>
    <t>ZOVKO OSIGURANJE d.d.</t>
  </si>
  <si>
    <t>BOBAR OSIGURANJE a.d.</t>
  </si>
  <si>
    <t>D.D. BRČKO GAS OSIGURANJE</t>
  </si>
  <si>
    <t>DRINA OSIGURANJE a.d.</t>
  </si>
  <si>
    <t>GRAWE OSIGURANJE a.d. BL</t>
  </si>
  <si>
    <t>JAHORINA OSIGURANJE a.d.</t>
  </si>
  <si>
    <t>KRAJINA OSIGURANJE a.d.</t>
  </si>
  <si>
    <t>MIKROFIN OSIGURANJE a.d.</t>
  </si>
  <si>
    <t>NEŠKOVIĆ OSIGURANJE a.d.</t>
  </si>
  <si>
    <t>OSIGURANJE AURA a.d.</t>
  </si>
  <si>
    <t>TRIGLAV KRAJINA - KOPAONIK a.d.</t>
  </si>
  <si>
    <t xml:space="preserve"> DUNAV OSIGURANJE a.d.</t>
  </si>
  <si>
    <t>Triglav BH osiguranje d.d.</t>
  </si>
  <si>
    <t>Sarajevo osiguranje d.d.</t>
  </si>
  <si>
    <t>Croatia osiguranje d.d.</t>
  </si>
  <si>
    <t>Grawe osiguranje d.d.</t>
  </si>
  <si>
    <t>Euroherc osiguranje d.d.</t>
  </si>
  <si>
    <t>Uniqa osiguranje d.d.</t>
  </si>
  <si>
    <t>Merkur BH osiguranje d.d.</t>
  </si>
  <si>
    <t>VGT osiguranje d.d.</t>
  </si>
  <si>
    <t>Camelija osiguranje d.d.</t>
  </si>
  <si>
    <t>Zovko osiguranje d.d.</t>
  </si>
  <si>
    <t>Lido osiguranje d.d.</t>
  </si>
  <si>
    <t>ASA osiguranje d.d.</t>
  </si>
  <si>
    <t>Hercegovina osiguranje d.d.</t>
  </si>
  <si>
    <t>Bobar osiguranje a.d.</t>
  </si>
  <si>
    <t>Nešković osiguranje a.d.</t>
  </si>
  <si>
    <t>Dunav osiguranje a.d.</t>
  </si>
  <si>
    <t>Jahorina osiguranje a.d.</t>
  </si>
  <si>
    <t>Drina osiguranje a.d.</t>
  </si>
  <si>
    <t>Krajina osiguranje a.d.</t>
  </si>
  <si>
    <t>Mikrofin osiguranje a.d.</t>
  </si>
  <si>
    <t>Bosna reosiguranje d.d.</t>
  </si>
  <si>
    <t xml:space="preserve">Drina osiguranje a.d. </t>
  </si>
  <si>
    <t xml:space="preserve">Dunav osiguranje a.d. </t>
  </si>
  <si>
    <t>Kapital (u KM) i pojedinačni udjeli društava po godini</t>
  </si>
  <si>
    <t>Osiguravajuća i reosiguravajuća društva</t>
  </si>
  <si>
    <t>2010.</t>
  </si>
  <si>
    <t>Promjena u ukupnom kapitalu (%)</t>
  </si>
  <si>
    <t>Kapital</t>
  </si>
  <si>
    <t xml:space="preserve">Udio društava u ukupnom kapitalu pojedinačnog entiteta (%) </t>
  </si>
  <si>
    <t>Udio u ukupnom kapitalu svih društava (%)</t>
  </si>
  <si>
    <t>2009.</t>
  </si>
  <si>
    <t>Društva sa sjedištem u FBiH</t>
  </si>
  <si>
    <t>Ukupno (za društva sa sjedištem u FBiH)</t>
  </si>
  <si>
    <t>Društva sa sjedištem u RS</t>
  </si>
  <si>
    <t>Ukupno (za društva sa sjedištem u RS)</t>
  </si>
  <si>
    <t>UKUPNO (za sva društva)</t>
  </si>
  <si>
    <t>Ukupni prihod (u KM) i pojedinačni udjeli društava po godini</t>
  </si>
  <si>
    <t>Promjena u ukupnom prihodu (%)</t>
  </si>
  <si>
    <t>Ukupni prihod</t>
  </si>
  <si>
    <t xml:space="preserve">Udio društava u ukupnom prihodu pojedinačnog entiteta (%) </t>
  </si>
  <si>
    <t>Udio u ukupnom prihodu svih društava (%)</t>
  </si>
  <si>
    <t>Promjena u dobiti (%)</t>
  </si>
  <si>
    <t>Br.</t>
  </si>
  <si>
    <t>1.</t>
  </si>
  <si>
    <t>Premija po zaposleniku (u KM)</t>
  </si>
  <si>
    <t>2.</t>
  </si>
  <si>
    <t>Ukupni prihod po zaposleniku (u KM)</t>
  </si>
  <si>
    <t>3.</t>
  </si>
  <si>
    <t>Dobit po zaposleniku (u KM)</t>
  </si>
  <si>
    <t>4.</t>
  </si>
  <si>
    <t>Dobit/Kapital (%)</t>
  </si>
  <si>
    <t>5.</t>
  </si>
  <si>
    <t>Dobit/Ukupni prihod (%)</t>
  </si>
  <si>
    <t>6.</t>
  </si>
  <si>
    <t>Isplaćene štete/Premija (%)</t>
  </si>
  <si>
    <t>Promjena</t>
  </si>
  <si>
    <t>Brčko-gas osiguranje d.d.</t>
  </si>
  <si>
    <t>LOK osiguranje d.d.</t>
  </si>
  <si>
    <t>Grawe  osiguranje a.d.</t>
  </si>
  <si>
    <t>Triglav Krajina-Kopaonik osiguranje a.d.</t>
  </si>
  <si>
    <t>Osiguranje Aura a.d.</t>
  </si>
  <si>
    <t>Grawe osiguranje a.d.</t>
  </si>
  <si>
    <t>MERKUR BH OSIGURANJE d.d.</t>
  </si>
  <si>
    <t>Bosna-Sunce osiguranje d.d.</t>
  </si>
  <si>
    <t>Skupine osiguranja</t>
  </si>
  <si>
    <t>Dobit (u KM) i promjena u dobiti (2010. u usporedbi sa 2009.)</t>
  </si>
  <si>
    <t>Poslovni pokazatelji po društvima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</si>
</sst>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-* #,##0.00\ _T_L_-;\-* #,##0.00\ _T_L_-;_-* &quot;-&quot;??\ _T_L_-;_-@_-"/>
    <numFmt numFmtId="166" formatCode="_(* #,##0_);_(* \(#,##0\);_(* &quot;-&quot;??_);_(@_)"/>
  </numFmts>
  <fonts count="38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">
    <xf numFmtId="0" fontId="0" fillId="0" borderId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9" fillId="0" borderId="0"/>
    <xf numFmtId="0" fontId="17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3" fillId="0" borderId="0"/>
    <xf numFmtId="0" fontId="28" fillId="0" borderId="0" applyFill="0">
      <alignment horizontal="center" vertical="center" wrapText="1"/>
    </xf>
    <xf numFmtId="0" fontId="20" fillId="0" borderId="0"/>
    <xf numFmtId="0" fontId="3" fillId="23" borderId="7" applyNumberFormat="0" applyFont="0" applyAlignment="0" applyProtection="0"/>
    <xf numFmtId="0" fontId="9" fillId="0" borderId="0"/>
    <xf numFmtId="0" fontId="21" fillId="20" borderId="8" applyNumberFormat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11">
    <xf numFmtId="0" fontId="0" fillId="0" borderId="0" xfId="0"/>
    <xf numFmtId="0" fontId="25" fillId="0" borderId="0" xfId="206" applyFont="1"/>
    <xf numFmtId="0" fontId="27" fillId="0" borderId="0" xfId="206" applyFont="1" applyAlignment="1">
      <alignment horizontal="left"/>
    </xf>
    <xf numFmtId="0" fontId="26" fillId="0" borderId="0" xfId="206" applyFont="1" applyBorder="1" applyAlignment="1">
      <alignment vertical="center"/>
    </xf>
    <xf numFmtId="0" fontId="25" fillId="0" borderId="0" xfId="206" applyFont="1" applyBorder="1"/>
    <xf numFmtId="0" fontId="27" fillId="0" borderId="0" xfId="206" applyFont="1"/>
    <xf numFmtId="0" fontId="27" fillId="0" borderId="0" xfId="206" applyFont="1" applyBorder="1"/>
    <xf numFmtId="0" fontId="25" fillId="0" borderId="0" xfId="206" applyFont="1" applyBorder="1" applyAlignment="1">
      <alignment horizontal="right"/>
    </xf>
    <xf numFmtId="3" fontId="26" fillId="0" borderId="0" xfId="206" applyNumberFormat="1" applyFont="1" applyBorder="1" applyAlignment="1">
      <alignment horizontal="right"/>
    </xf>
    <xf numFmtId="0" fontId="26" fillId="0" borderId="0" xfId="206" applyFont="1" applyBorder="1" applyAlignment="1">
      <alignment horizontal="right"/>
    </xf>
    <xf numFmtId="0" fontId="26" fillId="0" borderId="0" xfId="206" applyFont="1"/>
    <xf numFmtId="0" fontId="25" fillId="0" borderId="0" xfId="130" applyFont="1"/>
    <xf numFmtId="3" fontId="26" fillId="0" borderId="0" xfId="206" applyNumberFormat="1" applyFont="1" applyBorder="1" applyAlignment="1">
      <alignment horizontal="right" wrapText="1"/>
    </xf>
    <xf numFmtId="0" fontId="1" fillId="0" borderId="0" xfId="205" applyFont="1"/>
    <xf numFmtId="0" fontId="32" fillId="0" borderId="10" xfId="205" applyFont="1" applyBorder="1" applyAlignment="1">
      <alignment horizontal="center" vertical="center"/>
    </xf>
    <xf numFmtId="3" fontId="1" fillId="0" borderId="11" xfId="205" applyNumberFormat="1" applyFont="1" applyBorder="1" applyAlignment="1">
      <alignment horizontal="right"/>
    </xf>
    <xf numFmtId="10" fontId="32" fillId="0" borderId="11" xfId="205" applyNumberFormat="1" applyFont="1" applyFill="1" applyBorder="1" applyAlignment="1" applyProtection="1">
      <alignment horizontal="right" vertical="center" wrapText="1"/>
    </xf>
    <xf numFmtId="3" fontId="32" fillId="0" borderId="11" xfId="205" applyNumberFormat="1" applyFont="1" applyFill="1" applyBorder="1" applyAlignment="1" applyProtection="1">
      <alignment horizontal="right" vertical="center" wrapText="1"/>
    </xf>
    <xf numFmtId="10" fontId="32" fillId="0" borderId="12" xfId="205" applyNumberFormat="1" applyFont="1" applyFill="1" applyBorder="1" applyAlignment="1" applyProtection="1">
      <alignment horizontal="right" vertical="center" wrapText="1"/>
    </xf>
    <xf numFmtId="0" fontId="1" fillId="0" borderId="11" xfId="205" applyFont="1" applyBorder="1" applyAlignment="1">
      <alignment horizontal="right" wrapText="1"/>
    </xf>
    <xf numFmtId="3" fontId="1" fillId="0" borderId="11" xfId="205" applyNumberFormat="1" applyFont="1" applyBorder="1" applyAlignment="1">
      <alignment horizontal="right" wrapText="1"/>
    </xf>
    <xf numFmtId="0" fontId="1" fillId="0" borderId="11" xfId="205" applyFont="1" applyBorder="1" applyAlignment="1">
      <alignment horizontal="right"/>
    </xf>
    <xf numFmtId="10" fontId="1" fillId="0" borderId="11" xfId="205" applyNumberFormat="1" applyFont="1" applyBorder="1" applyAlignment="1">
      <alignment horizontal="right" wrapText="1"/>
    </xf>
    <xf numFmtId="10" fontId="1" fillId="0" borderId="11" xfId="205" applyNumberFormat="1" applyFont="1" applyBorder="1" applyAlignment="1">
      <alignment wrapText="1"/>
    </xf>
    <xf numFmtId="10" fontId="1" fillId="0" borderId="11" xfId="205" applyNumberFormat="1" applyFont="1" applyBorder="1" applyAlignment="1">
      <alignment horizontal="right"/>
    </xf>
    <xf numFmtId="10" fontId="1" fillId="0" borderId="11" xfId="205" applyNumberFormat="1" applyFont="1" applyBorder="1" applyAlignment="1"/>
    <xf numFmtId="0" fontId="32" fillId="0" borderId="15" xfId="205" applyFont="1" applyBorder="1" applyAlignment="1">
      <alignment horizontal="center" vertical="center"/>
    </xf>
    <xf numFmtId="10" fontId="1" fillId="0" borderId="13" xfId="205" applyNumberFormat="1" applyFont="1" applyBorder="1" applyAlignment="1">
      <alignment horizontal="right" wrapText="1"/>
    </xf>
    <xf numFmtId="10" fontId="1" fillId="0" borderId="13" xfId="205" applyNumberFormat="1" applyFont="1" applyBorder="1" applyAlignment="1">
      <alignment wrapText="1"/>
    </xf>
    <xf numFmtId="10" fontId="32" fillId="0" borderId="13" xfId="205" applyNumberFormat="1" applyFont="1" applyFill="1" applyBorder="1" applyAlignment="1" applyProtection="1">
      <alignment horizontal="right" vertical="center" wrapText="1"/>
    </xf>
    <xf numFmtId="10" fontId="1" fillId="0" borderId="13" xfId="205" applyNumberFormat="1" applyFont="1" applyBorder="1" applyAlignment="1"/>
    <xf numFmtId="10" fontId="1" fillId="0" borderId="13" xfId="205" applyNumberFormat="1" applyFont="1" applyBorder="1" applyAlignment="1">
      <alignment horizontal="right"/>
    </xf>
    <xf numFmtId="10" fontId="32" fillId="0" borderId="14" xfId="205" applyNumberFormat="1" applyFont="1" applyFill="1" applyBorder="1" applyAlignment="1" applyProtection="1">
      <alignment horizontal="right" vertical="center" wrapText="1"/>
    </xf>
    <xf numFmtId="10" fontId="32" fillId="0" borderId="11" xfId="205" applyNumberFormat="1" applyFont="1" applyFill="1" applyBorder="1" applyAlignment="1" applyProtection="1">
      <alignment horizontal="right" wrapText="1"/>
    </xf>
    <xf numFmtId="10" fontId="32" fillId="0" borderId="12" xfId="205" applyNumberFormat="1" applyFont="1" applyFill="1" applyBorder="1" applyAlignment="1" applyProtection="1">
      <alignment horizontal="right" wrapText="1"/>
    </xf>
    <xf numFmtId="0" fontId="1" fillId="0" borderId="10" xfId="206" applyFont="1" applyBorder="1" applyAlignment="1">
      <alignment horizontal="justify" wrapText="1"/>
    </xf>
    <xf numFmtId="3" fontId="1" fillId="0" borderId="11" xfId="206" applyNumberFormat="1" applyFont="1" applyBorder="1" applyAlignment="1">
      <alignment horizontal="right"/>
    </xf>
    <xf numFmtId="10" fontId="1" fillId="0" borderId="11" xfId="206" applyNumberFormat="1" applyFont="1" applyBorder="1" applyAlignment="1">
      <alignment horizontal="right"/>
    </xf>
    <xf numFmtId="10" fontId="33" fillId="0" borderId="12" xfId="206" applyNumberFormat="1" applyFont="1" applyBorder="1" applyAlignment="1">
      <alignment horizontal="right"/>
    </xf>
    <xf numFmtId="0" fontId="1" fillId="0" borderId="11" xfId="206" applyFont="1" applyBorder="1" applyAlignment="1">
      <alignment horizontal="right"/>
    </xf>
    <xf numFmtId="0" fontId="33" fillId="0" borderId="12" xfId="206" applyFont="1" applyBorder="1" applyAlignment="1">
      <alignment horizontal="right"/>
    </xf>
    <xf numFmtId="0" fontId="1" fillId="0" borderId="10" xfId="206" applyFont="1" applyBorder="1" applyAlignment="1">
      <alignment horizontal="justify"/>
    </xf>
    <xf numFmtId="3" fontId="1" fillId="0" borderId="11" xfId="206" applyNumberFormat="1" applyFont="1" applyBorder="1" applyAlignment="1"/>
    <xf numFmtId="0" fontId="1" fillId="0" borderId="10" xfId="206" applyFont="1" applyBorder="1" applyAlignment="1">
      <alignment horizontal="left"/>
    </xf>
    <xf numFmtId="49" fontId="1" fillId="0" borderId="10" xfId="206" applyNumberFormat="1" applyFont="1" applyBorder="1" applyAlignment="1">
      <alignment horizontal="left" wrapText="1"/>
    </xf>
    <xf numFmtId="0" fontId="23" fillId="25" borderId="11" xfId="206" applyFont="1" applyFill="1" applyBorder="1" applyAlignment="1">
      <alignment horizontal="center" vertical="center" wrapText="1"/>
    </xf>
    <xf numFmtId="0" fontId="33" fillId="25" borderId="10" xfId="206" applyFont="1" applyFill="1" applyBorder="1" applyAlignment="1">
      <alignment horizontal="right" wrapText="1"/>
    </xf>
    <xf numFmtId="3" fontId="33" fillId="25" borderId="11" xfId="206" applyNumberFormat="1" applyFont="1" applyFill="1" applyBorder="1" applyAlignment="1">
      <alignment horizontal="right"/>
    </xf>
    <xf numFmtId="10" fontId="33" fillId="25" borderId="11" xfId="206" applyNumberFormat="1" applyFont="1" applyFill="1" applyBorder="1" applyAlignment="1">
      <alignment horizontal="right"/>
    </xf>
    <xf numFmtId="10" fontId="33" fillId="25" borderId="12" xfId="206" applyNumberFormat="1" applyFont="1" applyFill="1" applyBorder="1" applyAlignment="1">
      <alignment horizontal="right"/>
    </xf>
    <xf numFmtId="3" fontId="33" fillId="25" borderId="11" xfId="206" applyNumberFormat="1" applyFont="1" applyFill="1" applyBorder="1" applyAlignment="1"/>
    <xf numFmtId="0" fontId="23" fillId="24" borderId="15" xfId="206" applyFont="1" applyFill="1" applyBorder="1" applyAlignment="1">
      <alignment horizontal="right" wrapText="1"/>
    </xf>
    <xf numFmtId="3" fontId="23" fillId="24" borderId="13" xfId="206" applyNumberFormat="1" applyFont="1" applyFill="1" applyBorder="1" applyAlignment="1"/>
    <xf numFmtId="10" fontId="33" fillId="24" borderId="13" xfId="206" applyNumberFormat="1" applyFont="1" applyFill="1" applyBorder="1" applyAlignment="1">
      <alignment horizontal="right"/>
    </xf>
    <xf numFmtId="10" fontId="23" fillId="24" borderId="13" xfId="206" applyNumberFormat="1" applyFont="1" applyFill="1" applyBorder="1" applyAlignment="1">
      <alignment horizontal="right" wrapText="1"/>
    </xf>
    <xf numFmtId="10" fontId="34" fillId="24" borderId="14" xfId="206" applyNumberFormat="1" applyFont="1" applyFill="1" applyBorder="1" applyAlignment="1">
      <alignment horizontal="right" wrapText="1"/>
    </xf>
    <xf numFmtId="0" fontId="36" fillId="25" borderId="11" xfId="206" applyFont="1" applyFill="1" applyBorder="1" applyAlignment="1">
      <alignment horizontal="center" vertical="center" wrapText="1"/>
    </xf>
    <xf numFmtId="0" fontId="37" fillId="25" borderId="10" xfId="206" applyFont="1" applyFill="1" applyBorder="1" applyAlignment="1">
      <alignment horizontal="right" wrapText="1"/>
    </xf>
    <xf numFmtId="0" fontId="36" fillId="24" borderId="15" xfId="206" applyFont="1" applyFill="1" applyBorder="1" applyAlignment="1">
      <alignment horizontal="right" wrapText="1"/>
    </xf>
    <xf numFmtId="3" fontId="23" fillId="24" borderId="13" xfId="206" applyNumberFormat="1" applyFont="1" applyFill="1" applyBorder="1" applyAlignment="1">
      <alignment horizontal="right" wrapText="1"/>
    </xf>
    <xf numFmtId="0" fontId="23" fillId="24" borderId="17" xfId="130" applyFont="1" applyFill="1" applyBorder="1" applyAlignment="1">
      <alignment horizontal="center" vertical="center"/>
    </xf>
    <xf numFmtId="0" fontId="23" fillId="24" borderId="18" xfId="206" applyFont="1" applyFill="1" applyBorder="1" applyAlignment="1">
      <alignment horizontal="center" vertical="center" wrapText="1"/>
    </xf>
    <xf numFmtId="0" fontId="30" fillId="24" borderId="16" xfId="206" applyFont="1" applyFill="1" applyBorder="1" applyAlignment="1">
      <alignment horizontal="center" vertical="center" wrapText="1"/>
    </xf>
    <xf numFmtId="0" fontId="32" fillId="25" borderId="11" xfId="205" applyFont="1" applyFill="1" applyBorder="1" applyAlignment="1">
      <alignment horizontal="center" vertical="center" wrapText="1"/>
    </xf>
    <xf numFmtId="0" fontId="32" fillId="0" borderId="11" xfId="207" applyFont="1" applyFill="1" applyBorder="1" applyAlignment="1" applyProtection="1">
      <alignment vertical="center" wrapText="1"/>
    </xf>
    <xf numFmtId="0" fontId="32" fillId="25" borderId="12" xfId="205" applyFont="1" applyFill="1" applyBorder="1" applyAlignment="1">
      <alignment horizontal="center" vertical="center" wrapText="1"/>
    </xf>
    <xf numFmtId="0" fontId="32" fillId="0" borderId="13" xfId="207" applyFont="1" applyFill="1" applyBorder="1" applyAlignment="1" applyProtection="1">
      <alignment vertical="center" wrapText="1"/>
    </xf>
    <xf numFmtId="0" fontId="1" fillId="0" borderId="10" xfId="130" applyFont="1" applyBorder="1" applyAlignment="1">
      <alignment horizontal="justify" vertical="center" wrapText="1"/>
    </xf>
    <xf numFmtId="3" fontId="1" fillId="0" borderId="11" xfId="130" applyNumberFormat="1" applyFont="1" applyBorder="1" applyAlignment="1">
      <alignment horizontal="right" vertical="center"/>
    </xf>
    <xf numFmtId="10" fontId="33" fillId="0" borderId="12" xfId="206" applyNumberFormat="1" applyFont="1" applyBorder="1"/>
    <xf numFmtId="10" fontId="33" fillId="25" borderId="12" xfId="206" applyNumberFormat="1" applyFont="1" applyFill="1" applyBorder="1"/>
    <xf numFmtId="0" fontId="1" fillId="0" borderId="10" xfId="131" applyFont="1" applyBorder="1" applyAlignment="1">
      <alignment horizontal="justify" vertical="center" wrapText="1"/>
    </xf>
    <xf numFmtId="3" fontId="1" fillId="0" borderId="11" xfId="131" applyNumberFormat="1" applyFont="1" applyBorder="1" applyAlignment="1">
      <alignment vertical="center"/>
    </xf>
    <xf numFmtId="166" fontId="1" fillId="0" borderId="11" xfId="131" applyNumberFormat="1" applyFont="1" applyFill="1" applyBorder="1" applyAlignment="1">
      <alignment vertical="center"/>
    </xf>
    <xf numFmtId="0" fontId="1" fillId="0" borderId="10" xfId="131" applyFont="1" applyBorder="1" applyAlignment="1">
      <alignment horizontal="left" vertical="center" wrapText="1"/>
    </xf>
    <xf numFmtId="3" fontId="1" fillId="0" borderId="11" xfId="131" applyNumberFormat="1" applyFont="1" applyFill="1" applyBorder="1" applyAlignment="1">
      <alignment vertical="center"/>
    </xf>
    <xf numFmtId="3" fontId="23" fillId="24" borderId="13" xfId="206" applyNumberFormat="1" applyFont="1" applyFill="1" applyBorder="1"/>
    <xf numFmtId="10" fontId="34" fillId="24" borderId="14" xfId="206" applyNumberFormat="1" applyFont="1" applyFill="1" applyBorder="1"/>
    <xf numFmtId="0" fontId="26" fillId="0" borderId="19" xfId="206" applyFont="1" applyBorder="1" applyAlignment="1">
      <alignment horizontal="center"/>
    </xf>
    <xf numFmtId="0" fontId="26" fillId="0" borderId="20" xfId="206" applyFont="1" applyBorder="1" applyAlignment="1">
      <alignment horizontal="center"/>
    </xf>
    <xf numFmtId="0" fontId="26" fillId="0" borderId="21" xfId="206" applyFont="1" applyBorder="1" applyAlignment="1">
      <alignment horizontal="center"/>
    </xf>
    <xf numFmtId="0" fontId="23" fillId="0" borderId="10" xfId="206" applyFont="1" applyFill="1" applyBorder="1" applyAlignment="1">
      <alignment horizontal="left" wrapText="1"/>
    </xf>
    <xf numFmtId="0" fontId="23" fillId="0" borderId="11" xfId="206" applyFont="1" applyFill="1" applyBorder="1" applyAlignment="1">
      <alignment horizontal="left" wrapText="1"/>
    </xf>
    <xf numFmtId="0" fontId="23" fillId="0" borderId="12" xfId="206" applyFont="1" applyFill="1" applyBorder="1" applyAlignment="1">
      <alignment horizontal="left" wrapText="1"/>
    </xf>
    <xf numFmtId="0" fontId="23" fillId="24" borderId="18" xfId="206" applyFont="1" applyFill="1" applyBorder="1" applyAlignment="1">
      <alignment horizontal="center" vertical="center" wrapText="1"/>
    </xf>
    <xf numFmtId="0" fontId="23" fillId="24" borderId="12" xfId="206" applyFont="1" applyFill="1" applyBorder="1" applyAlignment="1">
      <alignment horizontal="center" vertical="center" wrapText="1"/>
    </xf>
    <xf numFmtId="0" fontId="23" fillId="24" borderId="17" xfId="206" applyFont="1" applyFill="1" applyBorder="1" applyAlignment="1">
      <alignment horizontal="center" vertical="center"/>
    </xf>
    <xf numFmtId="0" fontId="30" fillId="24" borderId="16" xfId="206" applyFont="1" applyFill="1" applyBorder="1" applyAlignment="1">
      <alignment horizontal="center" vertical="center" wrapText="1"/>
    </xf>
    <xf numFmtId="0" fontId="30" fillId="24" borderId="10" xfId="206" applyFont="1" applyFill="1" applyBorder="1" applyAlignment="1">
      <alignment horizontal="center" vertical="center" wrapText="1"/>
    </xf>
    <xf numFmtId="0" fontId="36" fillId="0" borderId="10" xfId="206" applyFont="1" applyFill="1" applyBorder="1" applyAlignment="1">
      <alignment horizontal="left" wrapText="1"/>
    </xf>
    <xf numFmtId="0" fontId="36" fillId="0" borderId="11" xfId="206" applyFont="1" applyFill="1" applyBorder="1" applyAlignment="1">
      <alignment horizontal="left" wrapText="1"/>
    </xf>
    <xf numFmtId="0" fontId="36" fillId="0" borderId="12" xfId="206" applyFont="1" applyFill="1" applyBorder="1" applyAlignment="1">
      <alignment horizontal="left" wrapText="1"/>
    </xf>
    <xf numFmtId="0" fontId="35" fillId="24" borderId="16" xfId="206" applyFont="1" applyFill="1" applyBorder="1" applyAlignment="1">
      <alignment horizontal="center" vertical="center" wrapText="1"/>
    </xf>
    <xf numFmtId="0" fontId="35" fillId="24" borderId="10" xfId="206" applyFont="1" applyFill="1" applyBorder="1" applyAlignment="1">
      <alignment horizontal="center" vertical="center" wrapText="1"/>
    </xf>
    <xf numFmtId="0" fontId="36" fillId="24" borderId="18" xfId="206" applyFont="1" applyFill="1" applyBorder="1" applyAlignment="1">
      <alignment horizontal="center" vertical="center" wrapText="1"/>
    </xf>
    <xf numFmtId="0" fontId="36" fillId="24" borderId="12" xfId="206" applyFont="1" applyFill="1" applyBorder="1" applyAlignment="1">
      <alignment horizontal="center" vertical="center" wrapText="1"/>
    </xf>
    <xf numFmtId="0" fontId="36" fillId="24" borderId="17" xfId="206" applyFont="1" applyFill="1" applyBorder="1" applyAlignment="1">
      <alignment horizontal="center" vertical="center" wrapText="1"/>
    </xf>
    <xf numFmtId="0" fontId="23" fillId="0" borderId="22" xfId="206" applyFont="1" applyBorder="1" applyAlignment="1">
      <alignment horizontal="left" wrapText="1"/>
    </xf>
    <xf numFmtId="0" fontId="23" fillId="0" borderId="20" xfId="206" applyFont="1" applyBorder="1" applyAlignment="1">
      <alignment horizontal="left" wrapText="1"/>
    </xf>
    <xf numFmtId="0" fontId="23" fillId="0" borderId="23" xfId="206" applyFont="1" applyBorder="1" applyAlignment="1">
      <alignment horizontal="left" wrapText="1"/>
    </xf>
    <xf numFmtId="0" fontId="30" fillId="25" borderId="11" xfId="205" applyFont="1" applyFill="1" applyBorder="1" applyAlignment="1">
      <alignment horizontal="center" vertical="center" wrapText="1"/>
    </xf>
    <xf numFmtId="3" fontId="30" fillId="25" borderId="11" xfId="205" applyNumberFormat="1" applyFont="1" applyFill="1" applyBorder="1" applyAlignment="1">
      <alignment horizontal="center" vertical="center" wrapText="1"/>
    </xf>
    <xf numFmtId="0" fontId="36" fillId="0" borderId="19" xfId="205" applyFont="1" applyBorder="1" applyAlignment="1">
      <alignment horizontal="left"/>
    </xf>
    <xf numFmtId="0" fontId="36" fillId="0" borderId="20" xfId="205" applyFont="1" applyBorder="1" applyAlignment="1">
      <alignment horizontal="left"/>
    </xf>
    <xf numFmtId="0" fontId="30" fillId="24" borderId="16" xfId="205" applyFont="1" applyFill="1" applyBorder="1" applyAlignment="1">
      <alignment horizontal="center" vertical="center" wrapText="1"/>
    </xf>
    <xf numFmtId="0" fontId="30" fillId="24" borderId="10" xfId="205" applyFont="1" applyFill="1" applyBorder="1" applyAlignment="1">
      <alignment horizontal="center" vertical="center" wrapText="1"/>
    </xf>
    <xf numFmtId="0" fontId="30" fillId="24" borderId="17" xfId="205" applyFont="1" applyFill="1" applyBorder="1" applyAlignment="1">
      <alignment horizontal="center" vertical="center" wrapText="1"/>
    </xf>
    <xf numFmtId="0" fontId="30" fillId="24" borderId="11" xfId="205" applyFont="1" applyFill="1" applyBorder="1" applyAlignment="1">
      <alignment horizontal="center" vertical="center" wrapText="1"/>
    </xf>
    <xf numFmtId="0" fontId="31" fillId="24" borderId="17" xfId="205" applyFont="1" applyFill="1" applyBorder="1" applyAlignment="1">
      <alignment horizontal="left"/>
    </xf>
    <xf numFmtId="0" fontId="31" fillId="24" borderId="18" xfId="205" applyFont="1" applyFill="1" applyBorder="1" applyAlignment="1">
      <alignment horizontal="left"/>
    </xf>
    <xf numFmtId="3" fontId="30" fillId="25" borderId="12" xfId="205" applyNumberFormat="1" applyFont="1" applyFill="1" applyBorder="1" applyAlignment="1">
      <alignment horizontal="center" vertical="center" wrapText="1"/>
    </xf>
  </cellXfs>
  <cellStyles count="216">
    <cellStyle name="20% - Accent1" xfId="1" builtinId="30" customBuiltin="1"/>
    <cellStyle name="20% - Accent1 2" xfId="2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1 2" xfId="9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1 2" xfId="16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1 2" xfId="23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 2" xfId="32"/>
    <cellStyle name="Euro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AND_x000d_CHECK.COMMAND_x000e_RENAME.COMMAND_x0008_SHOW.BAR_x000b_DELETE.MENU_x000e_DELETE.COMMAND_x000e_GET.CHA" xfId="42"/>
    <cellStyle name="Neutral" xfId="43" builtinId="28" customBuiltin="1"/>
    <cellStyle name="Normal" xfId="0" builtinId="0"/>
    <cellStyle name="Normal 10" xfId="44"/>
    <cellStyle name="Normal 100" xfId="45"/>
    <cellStyle name="Normal 101" xfId="46"/>
    <cellStyle name="Normal 102" xfId="47"/>
    <cellStyle name="Normal 103" xfId="48"/>
    <cellStyle name="Normal 104" xfId="49"/>
    <cellStyle name="Normal 105" xfId="50"/>
    <cellStyle name="Normal 106" xfId="51"/>
    <cellStyle name="Normal 107" xfId="52"/>
    <cellStyle name="Normal 108" xfId="53"/>
    <cellStyle name="Normal 109" xfId="54"/>
    <cellStyle name="Normal 11" xfId="55"/>
    <cellStyle name="Normal 110" xfId="56"/>
    <cellStyle name="Normal 111" xfId="57"/>
    <cellStyle name="Normal 112" xfId="58"/>
    <cellStyle name="Normal 113" xfId="59"/>
    <cellStyle name="Normal 114" xfId="60"/>
    <cellStyle name="Normal 115" xfId="61"/>
    <cellStyle name="Normal 116" xfId="62"/>
    <cellStyle name="Normal 117" xfId="63"/>
    <cellStyle name="Normal 118" xfId="64"/>
    <cellStyle name="Normal 119" xfId="65"/>
    <cellStyle name="Normal 12" xfId="66"/>
    <cellStyle name="Normal 120" xfId="67"/>
    <cellStyle name="Normal 121" xfId="68"/>
    <cellStyle name="Normal 122" xfId="69"/>
    <cellStyle name="Normal 123" xfId="70"/>
    <cellStyle name="Normal 124" xfId="71"/>
    <cellStyle name="Normal 125" xfId="72"/>
    <cellStyle name="Normal 126" xfId="73"/>
    <cellStyle name="Normal 127" xfId="74"/>
    <cellStyle name="Normal 128" xfId="75"/>
    <cellStyle name="Normal 129" xfId="76"/>
    <cellStyle name="Normal 13" xfId="77"/>
    <cellStyle name="Normal 130" xfId="78"/>
    <cellStyle name="Normal 131" xfId="79"/>
    <cellStyle name="Normal 132" xfId="80"/>
    <cellStyle name="Normal 133" xfId="81"/>
    <cellStyle name="Normal 134" xfId="82"/>
    <cellStyle name="Normal 135" xfId="83"/>
    <cellStyle name="Normal 136" xfId="84"/>
    <cellStyle name="Normal 137" xfId="85"/>
    <cellStyle name="Normal 138" xfId="86"/>
    <cellStyle name="Normal 139" xfId="87"/>
    <cellStyle name="Normal 14" xfId="88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99"/>
    <cellStyle name="Normal 150" xfId="100"/>
    <cellStyle name="Normal 151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09"/>
    <cellStyle name="Normal 17" xfId="110"/>
    <cellStyle name="Normal 18" xfId="111"/>
    <cellStyle name="Normal 19" xfId="112"/>
    <cellStyle name="Normal 2" xfId="113"/>
    <cellStyle name="Normal 2 2" xfId="114"/>
    <cellStyle name="Normal 20" xfId="115"/>
    <cellStyle name="Normal 21" xfId="116"/>
    <cellStyle name="Normal 22" xfId="117"/>
    <cellStyle name="Normal 23" xfId="118"/>
    <cellStyle name="Normal 24" xfId="119"/>
    <cellStyle name="Normal 25" xfId="120"/>
    <cellStyle name="Normal 26" xfId="121"/>
    <cellStyle name="Normal 27" xfId="122"/>
    <cellStyle name="Normal 28" xfId="123"/>
    <cellStyle name="Normal 29" xfId="124"/>
    <cellStyle name="Normal 3" xfId="125"/>
    <cellStyle name="Normal 3 2" xfId="126"/>
    <cellStyle name="Normal 30" xfId="127"/>
    <cellStyle name="Normal 31" xfId="128"/>
    <cellStyle name="Normal 32" xfId="129"/>
    <cellStyle name="Normal 33" xfId="130"/>
    <cellStyle name="Normal 33 2" xfId="131"/>
    <cellStyle name="Normal 34" xfId="132"/>
    <cellStyle name="Normal 35" xfId="133"/>
    <cellStyle name="Normal 36" xfId="134"/>
    <cellStyle name="Normal 37" xfId="135"/>
    <cellStyle name="Normal 38" xfId="136"/>
    <cellStyle name="Normal 39" xfId="137"/>
    <cellStyle name="Normal 4" xfId="138"/>
    <cellStyle name="Normal 4 2" xfId="139"/>
    <cellStyle name="Normal 4_Business Performance indicators 2010" xfId="140"/>
    <cellStyle name="Normal 40" xfId="141"/>
    <cellStyle name="Normal 41" xfId="142"/>
    <cellStyle name="Normal 42" xfId="143"/>
    <cellStyle name="Normal 43" xfId="144"/>
    <cellStyle name="Normal 44" xfId="145"/>
    <cellStyle name="Normal 45" xfId="146"/>
    <cellStyle name="Normal 46" xfId="147"/>
    <cellStyle name="Normal 47" xfId="148"/>
    <cellStyle name="Normal 48" xfId="149"/>
    <cellStyle name="Normal 49" xfId="150"/>
    <cellStyle name="Normal 5" xfId="151"/>
    <cellStyle name="Normal 50" xfId="152"/>
    <cellStyle name="Normal 51" xfId="153"/>
    <cellStyle name="Normal 52" xfId="154"/>
    <cellStyle name="Normal 53" xfId="155"/>
    <cellStyle name="Normal 54" xfId="156"/>
    <cellStyle name="Normal 55" xfId="157"/>
    <cellStyle name="Normal 56" xfId="158"/>
    <cellStyle name="Normal 57" xfId="159"/>
    <cellStyle name="Normal 59" xfId="160"/>
    <cellStyle name="Normal 6" xfId="161"/>
    <cellStyle name="Normal 60" xfId="162"/>
    <cellStyle name="Normal 61" xfId="163"/>
    <cellStyle name="Normal 62" xfId="164"/>
    <cellStyle name="Normal 63" xfId="165"/>
    <cellStyle name="Normal 64" xfId="166"/>
    <cellStyle name="Normal 65" xfId="167"/>
    <cellStyle name="Normal 66" xfId="168"/>
    <cellStyle name="Normal 67" xfId="169"/>
    <cellStyle name="Normal 68" xfId="170"/>
    <cellStyle name="Normal 69" xfId="171"/>
    <cellStyle name="Normal 7" xfId="172"/>
    <cellStyle name="Normal 70" xfId="173"/>
    <cellStyle name="Normal 71" xfId="174"/>
    <cellStyle name="Normal 72" xfId="175"/>
    <cellStyle name="Normal 73" xfId="176"/>
    <cellStyle name="Normal 74" xfId="177"/>
    <cellStyle name="Normal 75" xfId="178"/>
    <cellStyle name="Normal 76" xfId="179"/>
    <cellStyle name="Normal 77" xfId="180"/>
    <cellStyle name="Normal 78" xfId="181"/>
    <cellStyle name="Normal 79" xfId="182"/>
    <cellStyle name="Normal 8" xfId="183"/>
    <cellStyle name="Normal 80" xfId="184"/>
    <cellStyle name="Normal 81" xfId="185"/>
    <cellStyle name="Normal 82" xfId="186"/>
    <cellStyle name="Normal 83" xfId="187"/>
    <cellStyle name="Normal 84" xfId="188"/>
    <cellStyle name="Normal 85" xfId="189"/>
    <cellStyle name="Normal 86" xfId="190"/>
    <cellStyle name="Normal 87" xfId="191"/>
    <cellStyle name="Normal 88" xfId="192"/>
    <cellStyle name="Normal 89" xfId="193"/>
    <cellStyle name="Normal 9" xfId="194"/>
    <cellStyle name="Normal 90" xfId="195"/>
    <cellStyle name="Normal 91" xfId="196"/>
    <cellStyle name="Normal 92" xfId="197"/>
    <cellStyle name="Normal 93" xfId="198"/>
    <cellStyle name="Normal 94" xfId="199"/>
    <cellStyle name="Normal 95" xfId="200"/>
    <cellStyle name="Normal 96" xfId="201"/>
    <cellStyle name="Normal 97" xfId="202"/>
    <cellStyle name="Normal 98" xfId="203"/>
    <cellStyle name="Normal 99" xfId="204"/>
    <cellStyle name="Normal_Business Performance indicators 2010" xfId="205"/>
    <cellStyle name="Normal_Pokazatelji poslovanja drustava u FBiH i RS" xfId="206"/>
    <cellStyle name="Normal_Spravki_NonLIfe1999" xfId="207"/>
    <cellStyle name="normální_Rezervy_prez_1_12_03" xfId="208"/>
    <cellStyle name="Note" xfId="209" builtinId="10" customBuiltin="1"/>
    <cellStyle name="Obično_01 premija(T.1)" xfId="210"/>
    <cellStyle name="Output" xfId="211" builtinId="21" customBuiltin="1"/>
    <cellStyle name="Standard_0103_s Versicherung" xfId="212"/>
    <cellStyle name="Title" xfId="213" builtinId="15" customBuiltin="1"/>
    <cellStyle name="Total" xfId="214" builtinId="25" customBuiltin="1"/>
    <cellStyle name="Warning Text" xfId="2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85546875" style="1" customWidth="1"/>
    <col min="2" max="2" width="38" style="1" customWidth="1"/>
    <col min="3" max="3" width="14.140625" style="1" customWidth="1"/>
    <col min="4" max="4" width="16.140625" style="1" customWidth="1"/>
    <col min="5" max="5" width="17.140625" style="1" customWidth="1"/>
    <col min="6" max="6" width="14" style="1" customWidth="1"/>
    <col min="7" max="7" width="16.140625" style="1" customWidth="1"/>
    <col min="8" max="8" width="17.140625" style="1" customWidth="1"/>
    <col min="9" max="9" width="16.140625" style="1" customWidth="1"/>
    <col min="10" max="16384" width="10.28515625" style="1"/>
  </cols>
  <sheetData>
    <row r="2" spans="2:9" x14ac:dyDescent="0.25">
      <c r="B2" s="78" t="s">
        <v>50</v>
      </c>
      <c r="C2" s="79"/>
      <c r="D2" s="79"/>
      <c r="E2" s="79"/>
      <c r="F2" s="79"/>
      <c r="G2" s="79"/>
      <c r="H2" s="79"/>
      <c r="I2" s="80"/>
    </row>
    <row r="3" spans="2:9" ht="16.5" thickBot="1" x14ac:dyDescent="0.3">
      <c r="B3" s="2"/>
    </row>
    <row r="4" spans="2:9" ht="18.75" customHeight="1" x14ac:dyDescent="0.25">
      <c r="B4" s="87" t="s">
        <v>51</v>
      </c>
      <c r="C4" s="86" t="s">
        <v>57</v>
      </c>
      <c r="D4" s="86"/>
      <c r="E4" s="86"/>
      <c r="F4" s="86" t="s">
        <v>52</v>
      </c>
      <c r="G4" s="86"/>
      <c r="H4" s="86"/>
      <c r="I4" s="84" t="s">
        <v>53</v>
      </c>
    </row>
    <row r="5" spans="2:9" ht="93.75" customHeight="1" x14ac:dyDescent="0.25">
      <c r="B5" s="88"/>
      <c r="C5" s="45" t="s">
        <v>54</v>
      </c>
      <c r="D5" s="45" t="s">
        <v>55</v>
      </c>
      <c r="E5" s="45" t="s">
        <v>56</v>
      </c>
      <c r="F5" s="45" t="s">
        <v>54</v>
      </c>
      <c r="G5" s="45" t="s">
        <v>55</v>
      </c>
      <c r="H5" s="45" t="s">
        <v>56</v>
      </c>
      <c r="I5" s="85"/>
    </row>
    <row r="6" spans="2:9" x14ac:dyDescent="0.25">
      <c r="B6" s="81" t="s">
        <v>58</v>
      </c>
      <c r="C6" s="82"/>
      <c r="D6" s="82"/>
      <c r="E6" s="82"/>
      <c r="F6" s="82"/>
      <c r="G6" s="82"/>
      <c r="H6" s="82"/>
      <c r="I6" s="83"/>
    </row>
    <row r="7" spans="2:9" x14ac:dyDescent="0.25">
      <c r="B7" s="35" t="s">
        <v>27</v>
      </c>
      <c r="C7" s="36">
        <v>32540786</v>
      </c>
      <c r="D7" s="37">
        <f>C7/C$23</f>
        <v>0.14924847137527952</v>
      </c>
      <c r="E7" s="37">
        <f>C7/C$37</f>
        <v>0.1051623602018311</v>
      </c>
      <c r="F7" s="36">
        <v>34402918</v>
      </c>
      <c r="G7" s="37">
        <f t="shared" ref="G7:G21" si="0">F7/F$23</f>
        <v>0.17009408994827116</v>
      </c>
      <c r="H7" s="37">
        <f>F7/F$37</f>
        <v>0.11209223428343504</v>
      </c>
      <c r="I7" s="38">
        <f>(F7-C7)/C7</f>
        <v>5.7224555055308129E-2</v>
      </c>
    </row>
    <row r="8" spans="2:9" x14ac:dyDescent="0.25">
      <c r="B8" s="35" t="s">
        <v>28</v>
      </c>
      <c r="C8" s="36">
        <v>34960904</v>
      </c>
      <c r="D8" s="37">
        <f t="shared" ref="D8:D22" si="1">C8/C$23</f>
        <v>0.16034835421301424</v>
      </c>
      <c r="E8" s="37">
        <f>C8/C$37</f>
        <v>0.11298347800909413</v>
      </c>
      <c r="F8" s="36">
        <v>27805233</v>
      </c>
      <c r="G8" s="37">
        <f t="shared" si="0"/>
        <v>0.13747397249659571</v>
      </c>
      <c r="H8" s="37">
        <f t="shared" ref="H8:H19" si="2">F8/F$37</f>
        <v>9.0595532964427586E-2</v>
      </c>
      <c r="I8" s="38">
        <f t="shared" ref="I8:I33" si="3">(F8-C8)/C8</f>
        <v>-0.20467637221280091</v>
      </c>
    </row>
    <row r="9" spans="2:9" x14ac:dyDescent="0.25">
      <c r="B9" s="35" t="s">
        <v>47</v>
      </c>
      <c r="C9" s="36">
        <v>19388520</v>
      </c>
      <c r="D9" s="37">
        <f t="shared" si="1"/>
        <v>8.8925540158404121E-2</v>
      </c>
      <c r="E9" s="37">
        <f t="shared" ref="E9:E19" si="4">C9/C$37</f>
        <v>6.2658060073300215E-2</v>
      </c>
      <c r="F9" s="36">
        <v>20825246</v>
      </c>
      <c r="G9" s="37">
        <f t="shared" si="0"/>
        <v>0.10296368657794883</v>
      </c>
      <c r="H9" s="37">
        <f t="shared" si="2"/>
        <v>6.7853208080842692E-2</v>
      </c>
      <c r="I9" s="38">
        <f>(F9-C9)/C9</f>
        <v>7.4101891222228405E-2</v>
      </c>
    </row>
    <row r="10" spans="2:9" x14ac:dyDescent="0.25">
      <c r="B10" s="35" t="s">
        <v>90</v>
      </c>
      <c r="C10" s="36">
        <v>22099696</v>
      </c>
      <c r="D10" s="37">
        <f t="shared" si="1"/>
        <v>0.10136036191192122</v>
      </c>
      <c r="E10" s="37">
        <f>C10/C$37</f>
        <v>7.1419792721139741E-2</v>
      </c>
      <c r="F10" s="36">
        <v>19181868</v>
      </c>
      <c r="G10" s="37">
        <f t="shared" si="0"/>
        <v>9.4838536108125024E-2</v>
      </c>
      <c r="H10" s="37">
        <f>F10/F$37</f>
        <v>6.2498722981868156E-2</v>
      </c>
      <c r="I10" s="38">
        <f>(F10-C10)/C10</f>
        <v>-0.1320302324520663</v>
      </c>
    </row>
    <row r="11" spans="2:9" x14ac:dyDescent="0.25">
      <c r="B11" s="35" t="s">
        <v>29</v>
      </c>
      <c r="C11" s="36">
        <v>18302800</v>
      </c>
      <c r="D11" s="37">
        <f t="shared" si="1"/>
        <v>8.3945880160591874E-2</v>
      </c>
      <c r="E11" s="37">
        <f t="shared" si="4"/>
        <v>5.9149328670243993E-2</v>
      </c>
      <c r="F11" s="36">
        <v>15835363</v>
      </c>
      <c r="G11" s="37">
        <f>F11/F$23</f>
        <v>7.8292825581990605E-2</v>
      </c>
      <c r="H11" s="37">
        <f t="shared" si="2"/>
        <v>5.1595077468697244E-2</v>
      </c>
      <c r="I11" s="38">
        <f t="shared" si="3"/>
        <v>-0.13481199597875734</v>
      </c>
    </row>
    <row r="12" spans="2:9" x14ac:dyDescent="0.25">
      <c r="B12" s="35" t="s">
        <v>30</v>
      </c>
      <c r="C12" s="36">
        <v>14185818</v>
      </c>
      <c r="D12" s="37">
        <f t="shared" si="1"/>
        <v>6.5063322431975823E-2</v>
      </c>
      <c r="E12" s="37">
        <f t="shared" si="4"/>
        <v>4.5844439721696315E-2</v>
      </c>
      <c r="F12" s="36">
        <v>15142269</v>
      </c>
      <c r="G12" s="37">
        <f t="shared" si="0"/>
        <v>7.4866046691356769E-2</v>
      </c>
      <c r="H12" s="37">
        <f t="shared" si="2"/>
        <v>4.9336825566098655E-2</v>
      </c>
      <c r="I12" s="38">
        <f t="shared" si="3"/>
        <v>6.74230418013258E-2</v>
      </c>
    </row>
    <row r="13" spans="2:9" x14ac:dyDescent="0.25">
      <c r="B13" s="35" t="s">
        <v>31</v>
      </c>
      <c r="C13" s="36">
        <v>13183367</v>
      </c>
      <c r="D13" s="37">
        <f t="shared" si="1"/>
        <v>6.0465576102842283E-2</v>
      </c>
      <c r="E13" s="37">
        <f>C13/C$37</f>
        <v>4.260480951895057E-2</v>
      </c>
      <c r="F13" s="36">
        <v>13740285</v>
      </c>
      <c r="G13" s="37">
        <f t="shared" si="0"/>
        <v>6.793439070211664E-2</v>
      </c>
      <c r="H13" s="37">
        <f t="shared" si="2"/>
        <v>4.4768854936699506E-2</v>
      </c>
      <c r="I13" s="38">
        <f t="shared" si="3"/>
        <v>4.2243988201193218E-2</v>
      </c>
    </row>
    <row r="14" spans="2:9" x14ac:dyDescent="0.25">
      <c r="B14" s="35" t="s">
        <v>32</v>
      </c>
      <c r="C14" s="36">
        <v>12089386</v>
      </c>
      <c r="D14" s="37">
        <f>C14/C$23</f>
        <v>5.5448026988828877E-2</v>
      </c>
      <c r="E14" s="37">
        <f t="shared" si="4"/>
        <v>3.9069380965505079E-2</v>
      </c>
      <c r="F14" s="36">
        <v>12567937</v>
      </c>
      <c r="G14" s="37">
        <f t="shared" si="0"/>
        <v>6.2138095569166697E-2</v>
      </c>
      <c r="H14" s="37">
        <f t="shared" si="2"/>
        <v>4.0949088640197667E-2</v>
      </c>
      <c r="I14" s="38">
        <f t="shared" si="3"/>
        <v>3.9584392457979255E-2</v>
      </c>
    </row>
    <row r="15" spans="2:9" x14ac:dyDescent="0.25">
      <c r="B15" s="35" t="s">
        <v>33</v>
      </c>
      <c r="C15" s="36">
        <v>8198774</v>
      </c>
      <c r="D15" s="37">
        <f t="shared" si="1"/>
        <v>3.7603716353114089E-2</v>
      </c>
      <c r="E15" s="37">
        <f t="shared" si="4"/>
        <v>2.6496054047416298E-2</v>
      </c>
      <c r="F15" s="36">
        <v>9637408</v>
      </c>
      <c r="G15" s="37">
        <f>F15/F$23</f>
        <v>4.7649043700891534E-2</v>
      </c>
      <c r="H15" s="37">
        <f t="shared" si="2"/>
        <v>3.1400783951554663E-2</v>
      </c>
      <c r="I15" s="38">
        <f>(F15-C15)/C15</f>
        <v>0.17546940554770749</v>
      </c>
    </row>
    <row r="16" spans="2:9" x14ac:dyDescent="0.25">
      <c r="B16" s="35" t="s">
        <v>34</v>
      </c>
      <c r="C16" s="36">
        <v>8449299</v>
      </c>
      <c r="D16" s="37">
        <f t="shared" si="1"/>
        <v>3.8752750469600764E-2</v>
      </c>
      <c r="E16" s="37">
        <f t="shared" si="4"/>
        <v>2.7305678015613125E-2</v>
      </c>
      <c r="F16" s="36">
        <v>8944799</v>
      </c>
      <c r="G16" s="37">
        <f t="shared" si="0"/>
        <v>4.4224662735736719E-2</v>
      </c>
      <c r="H16" s="37">
        <f t="shared" si="2"/>
        <v>2.914411228507522E-2</v>
      </c>
      <c r="I16" s="38">
        <f t="shared" si="3"/>
        <v>5.8643918270616296E-2</v>
      </c>
    </row>
    <row r="17" spans="2:9" x14ac:dyDescent="0.25">
      <c r="B17" s="35" t="s">
        <v>35</v>
      </c>
      <c r="C17" s="36">
        <v>6674173</v>
      </c>
      <c r="D17" s="37">
        <f t="shared" si="1"/>
        <v>3.0611126539603666E-2</v>
      </c>
      <c r="E17" s="37">
        <f>C17/C$37</f>
        <v>2.1568986842399433E-2</v>
      </c>
      <c r="F17" s="36">
        <v>6698784</v>
      </c>
      <c r="G17" s="37">
        <f>F17/F$23</f>
        <v>3.3119968725909811E-2</v>
      </c>
      <c r="H17" s="37">
        <f t="shared" si="2"/>
        <v>2.1826103981706615E-2</v>
      </c>
      <c r="I17" s="38">
        <f t="shared" si="3"/>
        <v>3.6874980615575893E-3</v>
      </c>
    </row>
    <row r="18" spans="2:9" x14ac:dyDescent="0.25">
      <c r="B18" s="35" t="s">
        <v>36</v>
      </c>
      <c r="C18" s="36">
        <v>6704965</v>
      </c>
      <c r="D18" s="37">
        <f t="shared" si="1"/>
        <v>3.0752354195585536E-2</v>
      </c>
      <c r="E18" s="37">
        <f t="shared" si="4"/>
        <v>2.1668497634650574E-2</v>
      </c>
      <c r="F18" s="36">
        <v>6651938</v>
      </c>
      <c r="G18" s="37">
        <f t="shared" si="0"/>
        <v>3.2888353845517491E-2</v>
      </c>
      <c r="H18" s="37">
        <f>F18/F$37</f>
        <v>2.1673469463691548E-2</v>
      </c>
      <c r="I18" s="38">
        <f t="shared" si="3"/>
        <v>-7.908616972646389E-3</v>
      </c>
    </row>
    <row r="19" spans="2:9" x14ac:dyDescent="0.25">
      <c r="B19" s="35" t="s">
        <v>37</v>
      </c>
      <c r="C19" s="36">
        <v>5339267</v>
      </c>
      <c r="D19" s="37">
        <f t="shared" si="1"/>
        <v>2.4488573755239794E-2</v>
      </c>
      <c r="E19" s="37">
        <f t="shared" si="4"/>
        <v>1.7254958729876719E-2</v>
      </c>
      <c r="F19" s="36">
        <v>5383102</v>
      </c>
      <c r="G19" s="37">
        <f t="shared" si="0"/>
        <v>2.6615005035000763E-2</v>
      </c>
      <c r="H19" s="37">
        <f t="shared" si="2"/>
        <v>1.7539324151388196E-2</v>
      </c>
      <c r="I19" s="38">
        <f t="shared" si="3"/>
        <v>8.2099284414883164E-3</v>
      </c>
    </row>
    <row r="20" spans="2:9" x14ac:dyDescent="0.25">
      <c r="B20" s="35" t="s">
        <v>38</v>
      </c>
      <c r="C20" s="36">
        <v>5029321</v>
      </c>
      <c r="D20" s="37">
        <f t="shared" si="1"/>
        <v>2.3067004936684447E-2</v>
      </c>
      <c r="E20" s="37">
        <f>C20/C$37</f>
        <v>1.6253303364357378E-2</v>
      </c>
      <c r="F20" s="36">
        <v>5033873</v>
      </c>
      <c r="G20" s="37">
        <f t="shared" si="0"/>
        <v>2.4888355308993661E-2</v>
      </c>
      <c r="H20" s="37">
        <f>F20/F$37</f>
        <v>1.6401459657260992E-2</v>
      </c>
      <c r="I20" s="38">
        <f>(F20-C20)/C20</f>
        <v>9.0509235739774814E-4</v>
      </c>
    </row>
    <row r="21" spans="2:9" x14ac:dyDescent="0.25">
      <c r="B21" s="35" t="s">
        <v>84</v>
      </c>
      <c r="C21" s="36">
        <v>3003481</v>
      </c>
      <c r="D21" s="37">
        <f t="shared" si="1"/>
        <v>1.3775480040792374E-2</v>
      </c>
      <c r="E21" s="37">
        <f>C21/C$37</f>
        <v>9.7063774298923166E-3</v>
      </c>
      <c r="F21" s="36">
        <v>407139</v>
      </c>
      <c r="G21" s="37">
        <f t="shared" si="0"/>
        <v>2.0129669723785979E-3</v>
      </c>
      <c r="H21" s="37">
        <f>F21/F$37</f>
        <v>1.3265479449715125E-3</v>
      </c>
      <c r="I21" s="38">
        <f>(F21-C21)/C21</f>
        <v>-0.86444428980905819</v>
      </c>
    </row>
    <row r="22" spans="2:9" x14ac:dyDescent="0.25">
      <c r="B22" s="35" t="s">
        <v>39</v>
      </c>
      <c r="C22" s="36">
        <v>7880393</v>
      </c>
      <c r="D22" s="37">
        <f t="shared" si="1"/>
        <v>3.6143460366521357E-2</v>
      </c>
      <c r="E22" s="37">
        <f>C22/C$37</f>
        <v>2.5467139214092382E-2</v>
      </c>
      <c r="F22" s="39" t="s">
        <v>1</v>
      </c>
      <c r="G22" s="37" t="s">
        <v>1</v>
      </c>
      <c r="H22" s="37" t="s">
        <v>1</v>
      </c>
      <c r="I22" s="40" t="s">
        <v>1</v>
      </c>
    </row>
    <row r="23" spans="2:9" s="5" customFormat="1" ht="30" customHeight="1" x14ac:dyDescent="0.25">
      <c r="B23" s="46" t="s">
        <v>59</v>
      </c>
      <c r="C23" s="47">
        <f t="shared" ref="C23:H23" si="5">SUM(C7:C22)</f>
        <v>218030950</v>
      </c>
      <c r="D23" s="48">
        <f t="shared" si="5"/>
        <v>1</v>
      </c>
      <c r="E23" s="48">
        <f t="shared" si="5"/>
        <v>0.70461264516005939</v>
      </c>
      <c r="F23" s="47">
        <f t="shared" si="5"/>
        <v>202258162</v>
      </c>
      <c r="G23" s="48">
        <f t="shared" si="5"/>
        <v>1</v>
      </c>
      <c r="H23" s="48">
        <f t="shared" si="5"/>
        <v>0.6590013463579153</v>
      </c>
      <c r="I23" s="49">
        <f>(F23-C23)/C23</f>
        <v>-7.2341967963722581E-2</v>
      </c>
    </row>
    <row r="24" spans="2:9" x14ac:dyDescent="0.25">
      <c r="B24" s="81" t="s">
        <v>60</v>
      </c>
      <c r="C24" s="82"/>
      <c r="D24" s="82"/>
      <c r="E24" s="82"/>
      <c r="F24" s="82"/>
      <c r="G24" s="82"/>
      <c r="H24" s="82"/>
      <c r="I24" s="83"/>
    </row>
    <row r="25" spans="2:9" x14ac:dyDescent="0.25">
      <c r="B25" s="41" t="s">
        <v>40</v>
      </c>
      <c r="C25" s="42">
        <v>20224454</v>
      </c>
      <c r="D25" s="37">
        <f>C25/C$36</f>
        <v>0.22126727725611628</v>
      </c>
      <c r="E25" s="37">
        <f>C25/C$37</f>
        <v>6.535955574131995E-2</v>
      </c>
      <c r="F25" s="42">
        <v>18376390</v>
      </c>
      <c r="G25" s="37">
        <f>F25/F$36</f>
        <v>0.17558514902592681</v>
      </c>
      <c r="H25" s="37">
        <f>F25/F$37</f>
        <v>5.987429941738584E-2</v>
      </c>
      <c r="I25" s="38">
        <f>(F25-C25)/C25</f>
        <v>-9.1377695536304718E-2</v>
      </c>
    </row>
    <row r="26" spans="2:9" x14ac:dyDescent="0.25">
      <c r="B26" s="41" t="s">
        <v>41</v>
      </c>
      <c r="C26" s="42">
        <v>13985963</v>
      </c>
      <c r="D26" s="37">
        <f t="shared" ref="D26:D35" si="6">C26/C$36</f>
        <v>0.15301456112559497</v>
      </c>
      <c r="E26" s="37">
        <f t="shared" ref="E26:E35" si="7">C26/C$37</f>
        <v>4.5198566462883914E-2</v>
      </c>
      <c r="F26" s="42">
        <v>14714808</v>
      </c>
      <c r="G26" s="37">
        <f t="shared" ref="G26:G35" si="8">F26/F$36</f>
        <v>0.14059898356357803</v>
      </c>
      <c r="H26" s="37">
        <f t="shared" ref="H26:H34" si="9">F26/F$37</f>
        <v>4.7944064098625706E-2</v>
      </c>
      <c r="I26" s="38">
        <f t="shared" si="3"/>
        <v>5.2112607476510558E-2</v>
      </c>
    </row>
    <row r="27" spans="2:9" x14ac:dyDescent="0.25">
      <c r="B27" s="41" t="s">
        <v>42</v>
      </c>
      <c r="C27" s="42">
        <v>4690978</v>
      </c>
      <c r="D27" s="37">
        <f t="shared" si="6"/>
        <v>5.1322024798708628E-2</v>
      </c>
      <c r="E27" s="37">
        <f t="shared" si="7"/>
        <v>1.5159877150320378E-2</v>
      </c>
      <c r="F27" s="42">
        <v>12333223</v>
      </c>
      <c r="G27" s="37">
        <f t="shared" si="8"/>
        <v>0.11784310185107021</v>
      </c>
      <c r="H27" s="37">
        <f t="shared" si="9"/>
        <v>4.0184339072221999E-2</v>
      </c>
      <c r="I27" s="38">
        <f>(F27-C27)/C27</f>
        <v>1.6291368239202997</v>
      </c>
    </row>
    <row r="28" spans="2:9" x14ac:dyDescent="0.25">
      <c r="B28" s="41" t="s">
        <v>43</v>
      </c>
      <c r="C28" s="42">
        <v>10959128</v>
      </c>
      <c r="D28" s="37">
        <f t="shared" si="6"/>
        <v>0.11989922762123849</v>
      </c>
      <c r="E28" s="37">
        <f>C28/C$37</f>
        <v>3.5416715694389582E-2</v>
      </c>
      <c r="F28" s="42">
        <v>11537261</v>
      </c>
      <c r="G28" s="37">
        <f>F28/F$36</f>
        <v>0.11023773940561847</v>
      </c>
      <c r="H28" s="37">
        <f>F28/F$37</f>
        <v>3.7590920717862887E-2</v>
      </c>
      <c r="I28" s="38">
        <f t="shared" si="3"/>
        <v>5.275355849479995E-2</v>
      </c>
    </row>
    <row r="29" spans="2:9" x14ac:dyDescent="0.25">
      <c r="B29" s="41" t="s">
        <v>85</v>
      </c>
      <c r="C29" s="42">
        <v>7941991</v>
      </c>
      <c r="D29" s="37">
        <f t="shared" si="6"/>
        <v>8.6889995871462358E-2</v>
      </c>
      <c r="E29" s="37">
        <f t="shared" si="7"/>
        <v>2.5666206042524627E-2</v>
      </c>
      <c r="F29" s="42">
        <v>8768887</v>
      </c>
      <c r="G29" s="37">
        <f t="shared" si="8"/>
        <v>8.3786115264560243E-2</v>
      </c>
      <c r="H29" s="37">
        <f t="shared" si="9"/>
        <v>2.8570952499115565E-2</v>
      </c>
      <c r="I29" s="38">
        <f t="shared" si="3"/>
        <v>0.10411696512876935</v>
      </c>
    </row>
    <row r="30" spans="2:9" x14ac:dyDescent="0.25">
      <c r="B30" s="41" t="s">
        <v>44</v>
      </c>
      <c r="C30" s="42">
        <v>9043845</v>
      </c>
      <c r="D30" s="37">
        <f t="shared" si="6"/>
        <v>9.8944918813449356E-2</v>
      </c>
      <c r="E30" s="37">
        <f t="shared" si="7"/>
        <v>2.9227077843157482E-2</v>
      </c>
      <c r="F30" s="42">
        <v>8621900</v>
      </c>
      <c r="G30" s="37">
        <f t="shared" si="8"/>
        <v>8.238166453730239E-2</v>
      </c>
      <c r="H30" s="37">
        <f t="shared" si="9"/>
        <v>2.8092036692013992E-2</v>
      </c>
      <c r="I30" s="38">
        <f>(F30-C30)/C30</f>
        <v>-4.665548779307916E-2</v>
      </c>
    </row>
    <row r="31" spans="2:9" x14ac:dyDescent="0.25">
      <c r="B31" s="41" t="s">
        <v>83</v>
      </c>
      <c r="C31" s="42">
        <v>7672284</v>
      </c>
      <c r="D31" s="37">
        <f t="shared" si="6"/>
        <v>8.3939244590517242E-2</v>
      </c>
      <c r="E31" s="37">
        <f t="shared" si="7"/>
        <v>2.4794591426855687E-2</v>
      </c>
      <c r="F31" s="42">
        <v>8596671</v>
      </c>
      <c r="G31" s="37">
        <f>F31/F$36</f>
        <v>8.2140603168623608E-2</v>
      </c>
      <c r="H31" s="37">
        <f t="shared" si="9"/>
        <v>2.8009835089849406E-2</v>
      </c>
      <c r="I31" s="38">
        <f>(F31-C31)/C31</f>
        <v>0.12048393933279843</v>
      </c>
    </row>
    <row r="32" spans="2:9" x14ac:dyDescent="0.25">
      <c r="B32" s="41" t="s">
        <v>45</v>
      </c>
      <c r="C32" s="42">
        <v>8852563</v>
      </c>
      <c r="D32" s="37">
        <f t="shared" si="6"/>
        <v>9.6852182597771813E-2</v>
      </c>
      <c r="E32" s="37">
        <f t="shared" si="7"/>
        <v>2.8608910028030749E-2</v>
      </c>
      <c r="F32" s="42">
        <v>6369971</v>
      </c>
      <c r="G32" s="37">
        <f t="shared" si="8"/>
        <v>6.0864637032944556E-2</v>
      </c>
      <c r="H32" s="37">
        <f>F32/F$37</f>
        <v>2.0754759282648264E-2</v>
      </c>
      <c r="I32" s="38">
        <f t="shared" si="3"/>
        <v>-0.2804376540443711</v>
      </c>
    </row>
    <row r="33" spans="2:9" x14ac:dyDescent="0.25">
      <c r="B33" s="43" t="s">
        <v>46</v>
      </c>
      <c r="C33" s="42">
        <v>5335821</v>
      </c>
      <c r="D33" s="37">
        <f t="shared" si="6"/>
        <v>5.8376981875308362E-2</v>
      </c>
      <c r="E33" s="37">
        <f>C33/C$37</f>
        <v>1.7243822259686493E-2</v>
      </c>
      <c r="F33" s="42">
        <v>5725964</v>
      </c>
      <c r="G33" s="37">
        <f t="shared" si="8"/>
        <v>5.471119421480998E-2</v>
      </c>
      <c r="H33" s="37">
        <f t="shared" si="9"/>
        <v>1.8656443566400817E-2</v>
      </c>
      <c r="I33" s="38">
        <f t="shared" si="3"/>
        <v>7.3117707659233699E-2</v>
      </c>
    </row>
    <row r="34" spans="2:9" x14ac:dyDescent="0.25">
      <c r="B34" s="44" t="s">
        <v>86</v>
      </c>
      <c r="C34" s="42">
        <v>655400</v>
      </c>
      <c r="D34" s="37">
        <f t="shared" si="6"/>
        <v>7.1704567902628477E-3</v>
      </c>
      <c r="E34" s="37">
        <f t="shared" si="7"/>
        <v>2.1180622642698339E-3</v>
      </c>
      <c r="F34" s="42">
        <v>5559040</v>
      </c>
      <c r="G34" s="37">
        <f t="shared" si="8"/>
        <v>5.3116246816762601E-2</v>
      </c>
      <c r="H34" s="37">
        <f t="shared" si="9"/>
        <v>1.8112568651036717E-2</v>
      </c>
      <c r="I34" s="38">
        <f>(F34-C34)/C34</f>
        <v>7.4819041806530366</v>
      </c>
    </row>
    <row r="35" spans="2:9" x14ac:dyDescent="0.25">
      <c r="B35" s="41" t="s">
        <v>87</v>
      </c>
      <c r="C35" s="42">
        <v>2040397</v>
      </c>
      <c r="D35" s="37">
        <f t="shared" si="6"/>
        <v>2.2323128659569643E-2</v>
      </c>
      <c r="E35" s="37">
        <f t="shared" si="7"/>
        <v>6.5939699265019471E-3</v>
      </c>
      <c r="F35" s="42">
        <v>4053882</v>
      </c>
      <c r="G35" s="37">
        <f t="shared" si="8"/>
        <v>3.8734565118803105E-2</v>
      </c>
      <c r="H35" s="37">
        <f>F35/F$37</f>
        <v>1.3208434554923515E-2</v>
      </c>
      <c r="I35" s="38">
        <f>(F35-C35)/C35</f>
        <v>0.9868104099349293</v>
      </c>
    </row>
    <row r="36" spans="2:9" s="5" customFormat="1" ht="30" customHeight="1" x14ac:dyDescent="0.25">
      <c r="B36" s="46" t="s">
        <v>61</v>
      </c>
      <c r="C36" s="50">
        <f t="shared" ref="C36:H36" si="10">SUM(C25:C35)</f>
        <v>91402824</v>
      </c>
      <c r="D36" s="48">
        <f t="shared" si="10"/>
        <v>1</v>
      </c>
      <c r="E36" s="48">
        <f t="shared" si="10"/>
        <v>0.29538735483994072</v>
      </c>
      <c r="F36" s="50">
        <f t="shared" si="10"/>
        <v>104657997</v>
      </c>
      <c r="G36" s="48">
        <f t="shared" si="10"/>
        <v>1</v>
      </c>
      <c r="H36" s="48">
        <f t="shared" si="10"/>
        <v>0.3409986536420847</v>
      </c>
      <c r="I36" s="49">
        <f>(F36-C36)/C36</f>
        <v>0.14501929393341281</v>
      </c>
    </row>
    <row r="37" spans="2:9" ht="30" customHeight="1" thickBot="1" x14ac:dyDescent="0.3">
      <c r="B37" s="51" t="s">
        <v>62</v>
      </c>
      <c r="C37" s="52">
        <f>C23+C36</f>
        <v>309433774</v>
      </c>
      <c r="D37" s="53"/>
      <c r="E37" s="54">
        <f>E23+E36</f>
        <v>1</v>
      </c>
      <c r="F37" s="52">
        <f>F23+F36</f>
        <v>306916159</v>
      </c>
      <c r="G37" s="53"/>
      <c r="H37" s="54">
        <f>H23+H36</f>
        <v>1</v>
      </c>
      <c r="I37" s="55">
        <f>(F37-C37)/C37</f>
        <v>-8.1361997672561755E-3</v>
      </c>
    </row>
    <row r="38" spans="2:9" x14ac:dyDescent="0.25">
      <c r="D38" s="12"/>
      <c r="E38" s="4"/>
      <c r="F38" s="4"/>
      <c r="G38" s="12"/>
    </row>
  </sheetData>
  <mergeCells count="7">
    <mergeCell ref="B2:I2"/>
    <mergeCell ref="B6:I6"/>
    <mergeCell ref="B24:I24"/>
    <mergeCell ref="I4:I5"/>
    <mergeCell ref="C4:E4"/>
    <mergeCell ref="F4:H4"/>
    <mergeCell ref="B4:B5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75" orientation="landscape" horizontalDpi="200" verticalDpi="200" r:id="rId1"/>
  <headerFooter>
    <oddHeader>&amp;LAgencija za osiguranje u BiH&amp;CStatistika tržišta osiguranja&amp;RGodišnje izvješće</oddHeader>
    <oddFooter>&amp;CU izvješće su uključeni podatci zaključno s 31.12.2010.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7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85546875" style="1" customWidth="1"/>
    <col min="2" max="2" width="36.5703125" style="1" customWidth="1"/>
    <col min="3" max="3" width="14.5703125" style="1" customWidth="1"/>
    <col min="4" max="4" width="16.140625" style="1" customWidth="1"/>
    <col min="5" max="5" width="14.140625" style="1" customWidth="1"/>
    <col min="6" max="6" width="14.42578125" style="1" customWidth="1"/>
    <col min="7" max="7" width="16.28515625" style="1" customWidth="1"/>
    <col min="8" max="8" width="15.5703125" style="1" customWidth="1"/>
    <col min="9" max="9" width="19.5703125" style="1" customWidth="1"/>
    <col min="10" max="10" width="13.5703125" style="1" customWidth="1"/>
    <col min="11" max="11" width="9.28515625" style="1" customWidth="1"/>
    <col min="12" max="16384" width="10.28515625" style="1"/>
  </cols>
  <sheetData>
    <row r="2" spans="2:12" x14ac:dyDescent="0.25">
      <c r="B2" s="78" t="s">
        <v>63</v>
      </c>
      <c r="C2" s="79"/>
      <c r="D2" s="79"/>
      <c r="E2" s="79"/>
      <c r="F2" s="79"/>
      <c r="G2" s="79"/>
      <c r="H2" s="79"/>
      <c r="I2" s="80"/>
    </row>
    <row r="3" spans="2:12" ht="16.5" thickBot="1" x14ac:dyDescent="0.3">
      <c r="B3" s="2"/>
    </row>
    <row r="4" spans="2:12" ht="17.25" customHeight="1" x14ac:dyDescent="0.25">
      <c r="B4" s="92" t="s">
        <v>51</v>
      </c>
      <c r="C4" s="96" t="s">
        <v>57</v>
      </c>
      <c r="D4" s="96"/>
      <c r="E4" s="96"/>
      <c r="F4" s="96" t="s">
        <v>52</v>
      </c>
      <c r="G4" s="96"/>
      <c r="H4" s="96"/>
      <c r="I4" s="94" t="s">
        <v>64</v>
      </c>
      <c r="J4" s="3"/>
      <c r="K4" s="3"/>
      <c r="L4" s="4"/>
    </row>
    <row r="5" spans="2:12" ht="92.25" customHeight="1" x14ac:dyDescent="0.25">
      <c r="B5" s="93"/>
      <c r="C5" s="56" t="s">
        <v>65</v>
      </c>
      <c r="D5" s="56" t="s">
        <v>66</v>
      </c>
      <c r="E5" s="56" t="s">
        <v>67</v>
      </c>
      <c r="F5" s="56" t="s">
        <v>65</v>
      </c>
      <c r="G5" s="56" t="s">
        <v>66</v>
      </c>
      <c r="H5" s="56" t="s">
        <v>67</v>
      </c>
      <c r="I5" s="95"/>
      <c r="J5" s="4"/>
      <c r="K5" s="4"/>
      <c r="L5" s="4"/>
    </row>
    <row r="6" spans="2:12" x14ac:dyDescent="0.25">
      <c r="B6" s="89" t="s">
        <v>58</v>
      </c>
      <c r="C6" s="90"/>
      <c r="D6" s="90"/>
      <c r="E6" s="90"/>
      <c r="F6" s="90"/>
      <c r="G6" s="90"/>
      <c r="H6" s="90"/>
      <c r="I6" s="91"/>
      <c r="J6" s="4"/>
      <c r="K6" s="4"/>
      <c r="L6" s="4"/>
    </row>
    <row r="7" spans="2:12" x14ac:dyDescent="0.25">
      <c r="B7" s="35" t="s">
        <v>28</v>
      </c>
      <c r="C7" s="36">
        <v>46884696</v>
      </c>
      <c r="D7" s="37">
        <f>C7/C$23</f>
        <v>0.12992027063982473</v>
      </c>
      <c r="E7" s="37">
        <f>C7/C$37</f>
        <v>9.3276424974691657E-2</v>
      </c>
      <c r="F7" s="36">
        <v>48325824</v>
      </c>
      <c r="G7" s="37">
        <f>F7/F$23</f>
        <v>0.13369582557347082</v>
      </c>
      <c r="H7" s="37">
        <f>F7/F$37</f>
        <v>9.3603897786952786E-2</v>
      </c>
      <c r="I7" s="38">
        <f>(F7-C7)/C7</f>
        <v>3.073770596699614E-2</v>
      </c>
      <c r="J7" s="4"/>
      <c r="K7" s="4"/>
      <c r="L7" s="4"/>
    </row>
    <row r="8" spans="2:12" x14ac:dyDescent="0.25">
      <c r="B8" s="35" t="s">
        <v>90</v>
      </c>
      <c r="C8" s="36">
        <v>47148568</v>
      </c>
      <c r="D8" s="37">
        <f t="shared" ref="D8:D22" si="0">C8/C$23</f>
        <v>0.13065147558683499</v>
      </c>
      <c r="E8" s="37">
        <f t="shared" ref="E8:E22" si="1">C8/C$37</f>
        <v>9.3801394504427371E-2</v>
      </c>
      <c r="F8" s="36">
        <v>46652245</v>
      </c>
      <c r="G8" s="37">
        <f t="shared" ref="G8:G21" si="2">F8/F$23</f>
        <v>0.12906578499584045</v>
      </c>
      <c r="H8" s="37">
        <f t="shared" ref="H8:H34" si="3">F8/F$37</f>
        <v>9.0362286890584204E-2</v>
      </c>
      <c r="I8" s="38">
        <f t="shared" ref="I8:I33" si="4">(F8-C8)/C8</f>
        <v>-1.052678842759339E-2</v>
      </c>
      <c r="J8" s="4"/>
      <c r="K8" s="4"/>
      <c r="L8" s="4"/>
    </row>
    <row r="9" spans="2:12" x14ac:dyDescent="0.25">
      <c r="B9" s="35" t="s">
        <v>31</v>
      </c>
      <c r="C9" s="36">
        <v>34343839</v>
      </c>
      <c r="D9" s="37">
        <f t="shared" si="0"/>
        <v>9.5168812818804821E-2</v>
      </c>
      <c r="E9" s="37">
        <f t="shared" si="1"/>
        <v>6.8326571251019513E-2</v>
      </c>
      <c r="F9" s="36">
        <v>37054738</v>
      </c>
      <c r="G9" s="37">
        <f t="shared" si="2"/>
        <v>0.10251379859179766</v>
      </c>
      <c r="H9" s="37">
        <f t="shared" si="3"/>
        <v>7.1772555979062361E-2</v>
      </c>
      <c r="I9" s="38">
        <f t="shared" si="4"/>
        <v>7.8934070241827067E-2</v>
      </c>
      <c r="J9" s="4"/>
      <c r="K9" s="4"/>
      <c r="L9" s="4"/>
    </row>
    <row r="10" spans="2:12" x14ac:dyDescent="0.25">
      <c r="B10" s="35" t="s">
        <v>29</v>
      </c>
      <c r="C10" s="36">
        <v>35132172</v>
      </c>
      <c r="D10" s="37">
        <f t="shared" si="0"/>
        <v>9.735333027231044E-2</v>
      </c>
      <c r="E10" s="37">
        <f t="shared" si="1"/>
        <v>6.9894948359182335E-2</v>
      </c>
      <c r="F10" s="36">
        <v>34775106</v>
      </c>
      <c r="G10" s="37">
        <f t="shared" si="2"/>
        <v>9.6207081871484662E-2</v>
      </c>
      <c r="H10" s="37">
        <f t="shared" si="3"/>
        <v>6.7357060845034913E-2</v>
      </c>
      <c r="I10" s="38">
        <f>(F10-C10)/C10</f>
        <v>-1.0163504835397026E-2</v>
      </c>
      <c r="J10" s="4"/>
      <c r="K10" s="4"/>
      <c r="L10" s="4"/>
    </row>
    <row r="11" spans="2:12" x14ac:dyDescent="0.25">
      <c r="B11" s="35" t="s">
        <v>32</v>
      </c>
      <c r="C11" s="36">
        <v>30668225</v>
      </c>
      <c r="D11" s="37">
        <f t="shared" si="0"/>
        <v>8.4983468636397649E-2</v>
      </c>
      <c r="E11" s="37">
        <f t="shared" si="1"/>
        <v>6.1013990328943647E-2</v>
      </c>
      <c r="F11" s="36">
        <v>32265298</v>
      </c>
      <c r="G11" s="37">
        <f t="shared" si="2"/>
        <v>8.9263571656513441E-2</v>
      </c>
      <c r="H11" s="37">
        <f t="shared" si="3"/>
        <v>6.2495730151597047E-2</v>
      </c>
      <c r="I11" s="38">
        <f t="shared" si="4"/>
        <v>5.2075821147131926E-2</v>
      </c>
      <c r="J11" s="4"/>
      <c r="K11" s="4"/>
      <c r="L11" s="4"/>
    </row>
    <row r="12" spans="2:12" x14ac:dyDescent="0.25">
      <c r="B12" s="35" t="s">
        <v>47</v>
      </c>
      <c r="C12" s="36">
        <v>29547036</v>
      </c>
      <c r="D12" s="37">
        <f t="shared" si="0"/>
        <v>8.1876587484424432E-2</v>
      </c>
      <c r="E12" s="37">
        <f t="shared" si="1"/>
        <v>5.878340102020739E-2</v>
      </c>
      <c r="F12" s="36">
        <v>31084778</v>
      </c>
      <c r="G12" s="37">
        <f t="shared" si="2"/>
        <v>8.5997603630681249E-2</v>
      </c>
      <c r="H12" s="37">
        <f t="shared" si="3"/>
        <v>6.0209141651513663E-2</v>
      </c>
      <c r="I12" s="38">
        <f t="shared" si="4"/>
        <v>5.2043866599681944E-2</v>
      </c>
      <c r="J12" s="4"/>
      <c r="K12" s="4"/>
      <c r="L12" s="4"/>
    </row>
    <row r="13" spans="2:12" x14ac:dyDescent="0.25">
      <c r="B13" s="35" t="s">
        <v>27</v>
      </c>
      <c r="C13" s="36">
        <v>30038195</v>
      </c>
      <c r="D13" s="37">
        <f t="shared" si="0"/>
        <v>8.32376181757013E-2</v>
      </c>
      <c r="E13" s="37">
        <f t="shared" si="1"/>
        <v>5.976055475101423E-2</v>
      </c>
      <c r="F13" s="36">
        <v>30073287</v>
      </c>
      <c r="G13" s="37">
        <f t="shared" si="2"/>
        <v>8.3199262844911401E-2</v>
      </c>
      <c r="H13" s="37">
        <f t="shared" si="3"/>
        <v>5.8249951050305858E-2</v>
      </c>
      <c r="I13" s="38">
        <f t="shared" si="4"/>
        <v>1.1682459615166623E-3</v>
      </c>
      <c r="J13" s="4"/>
      <c r="K13" s="4"/>
      <c r="L13" s="4"/>
    </row>
    <row r="14" spans="2:12" x14ac:dyDescent="0.25">
      <c r="B14" s="35" t="s">
        <v>30</v>
      </c>
      <c r="C14" s="36">
        <v>21237603</v>
      </c>
      <c r="D14" s="37">
        <f t="shared" si="0"/>
        <v>5.8850656288805911E-2</v>
      </c>
      <c r="E14" s="37">
        <f t="shared" si="1"/>
        <v>4.225190417938908E-2</v>
      </c>
      <c r="F14" s="36">
        <v>22720443</v>
      </c>
      <c r="G14" s="37">
        <f t="shared" si="2"/>
        <v>6.2857249661795442E-2</v>
      </c>
      <c r="H14" s="37">
        <f>F14/F$37</f>
        <v>4.4007982652221035E-2</v>
      </c>
      <c r="I14" s="38">
        <f t="shared" si="4"/>
        <v>6.9821438888371723E-2</v>
      </c>
      <c r="J14" s="4"/>
      <c r="K14" s="4"/>
      <c r="L14" s="4"/>
    </row>
    <row r="15" spans="2:12" x14ac:dyDescent="0.25">
      <c r="B15" s="35" t="s">
        <v>34</v>
      </c>
      <c r="C15" s="36">
        <v>21022633</v>
      </c>
      <c r="D15" s="37">
        <f t="shared" si="0"/>
        <v>5.825496168134929E-2</v>
      </c>
      <c r="E15" s="37">
        <f t="shared" si="1"/>
        <v>4.1824224471775973E-2</v>
      </c>
      <c r="F15" s="36">
        <v>22595953</v>
      </c>
      <c r="G15" s="37">
        <f t="shared" si="2"/>
        <v>6.2512841808022662E-2</v>
      </c>
      <c r="H15" s="37">
        <f t="shared" si="3"/>
        <v>4.3766853825623113E-2</v>
      </c>
      <c r="I15" s="38">
        <f t="shared" si="4"/>
        <v>7.4839341009282703E-2</v>
      </c>
      <c r="J15" s="4"/>
      <c r="K15" s="4"/>
      <c r="L15" s="4"/>
    </row>
    <row r="16" spans="2:12" x14ac:dyDescent="0.25">
      <c r="B16" s="35" t="s">
        <v>33</v>
      </c>
      <c r="C16" s="36">
        <v>18627347</v>
      </c>
      <c r="D16" s="37">
        <f t="shared" si="0"/>
        <v>5.1617482249259487E-2</v>
      </c>
      <c r="E16" s="37">
        <f t="shared" si="1"/>
        <v>3.7058837598585422E-2</v>
      </c>
      <c r="F16" s="36">
        <v>20599687</v>
      </c>
      <c r="G16" s="37">
        <f t="shared" si="2"/>
        <v>5.6990071395784055E-2</v>
      </c>
      <c r="H16" s="37">
        <f t="shared" si="3"/>
        <v>3.9900219733267663E-2</v>
      </c>
      <c r="I16" s="38">
        <f t="shared" si="4"/>
        <v>0.10588410684570379</v>
      </c>
      <c r="J16" s="4"/>
      <c r="K16" s="4"/>
      <c r="L16" s="4"/>
    </row>
    <row r="17" spans="2:12" x14ac:dyDescent="0.25">
      <c r="B17" s="35" t="s">
        <v>37</v>
      </c>
      <c r="C17" s="36">
        <v>12846083</v>
      </c>
      <c r="D17" s="37">
        <f t="shared" si="0"/>
        <v>3.559725715234778E-2</v>
      </c>
      <c r="E17" s="37">
        <f t="shared" si="1"/>
        <v>2.5557096438636649E-2</v>
      </c>
      <c r="F17" s="36">
        <v>9549085</v>
      </c>
      <c r="G17" s="37">
        <f t="shared" si="2"/>
        <v>2.6418024502722327E-2</v>
      </c>
      <c r="H17" s="37">
        <f t="shared" si="3"/>
        <v>1.8495940727237762E-2</v>
      </c>
      <c r="I17" s="38">
        <f t="shared" si="4"/>
        <v>-0.25665395436102972</v>
      </c>
      <c r="J17" s="4"/>
      <c r="K17" s="4"/>
      <c r="L17" s="4"/>
    </row>
    <row r="18" spans="2:12" x14ac:dyDescent="0.25">
      <c r="B18" s="35" t="s">
        <v>35</v>
      </c>
      <c r="C18" s="36">
        <v>10118782</v>
      </c>
      <c r="D18" s="37">
        <f t="shared" si="0"/>
        <v>2.8039744482621514E-2</v>
      </c>
      <c r="E18" s="37">
        <f t="shared" si="1"/>
        <v>2.0131170522216042E-2</v>
      </c>
      <c r="F18" s="36">
        <v>8698892</v>
      </c>
      <c r="G18" s="37">
        <f t="shared" si="2"/>
        <v>2.406592275621541E-2</v>
      </c>
      <c r="H18" s="37">
        <f t="shared" si="3"/>
        <v>1.6849173593558205E-2</v>
      </c>
      <c r="I18" s="38">
        <f t="shared" si="4"/>
        <v>-0.1403222245523226</v>
      </c>
      <c r="J18" s="4"/>
      <c r="K18" s="4"/>
      <c r="L18" s="4"/>
    </row>
    <row r="19" spans="2:12" x14ac:dyDescent="0.25">
      <c r="B19" s="35" t="s">
        <v>38</v>
      </c>
      <c r="C19" s="36">
        <v>6700607</v>
      </c>
      <c r="D19" s="37">
        <f t="shared" si="0"/>
        <v>1.856777902305486E-2</v>
      </c>
      <c r="E19" s="37">
        <f t="shared" si="1"/>
        <v>1.3330760769364777E-2</v>
      </c>
      <c r="F19" s="36">
        <v>8417127</v>
      </c>
      <c r="G19" s="37">
        <f t="shared" si="2"/>
        <v>2.3286405695260401E-2</v>
      </c>
      <c r="H19" s="37">
        <f t="shared" si="3"/>
        <v>1.6303413582100548E-2</v>
      </c>
      <c r="I19" s="38">
        <f t="shared" si="4"/>
        <v>0.25617380634321635</v>
      </c>
      <c r="J19" s="4"/>
      <c r="K19" s="4"/>
      <c r="L19" s="4"/>
    </row>
    <row r="20" spans="2:12" x14ac:dyDescent="0.25">
      <c r="B20" s="35" t="s">
        <v>36</v>
      </c>
      <c r="C20" s="36">
        <v>7041238</v>
      </c>
      <c r="D20" s="37">
        <f t="shared" si="0"/>
        <v>1.9511687707208725E-2</v>
      </c>
      <c r="E20" s="37">
        <f t="shared" si="1"/>
        <v>1.4008441220050738E-2</v>
      </c>
      <c r="F20" s="36">
        <v>7733723</v>
      </c>
      <c r="G20" s="37">
        <f t="shared" si="2"/>
        <v>2.1395734116019201E-2</v>
      </c>
      <c r="H20" s="37">
        <f>F20/F$37</f>
        <v>1.4979705616703108E-2</v>
      </c>
      <c r="I20" s="38">
        <f t="shared" si="4"/>
        <v>9.8347052038292124E-2</v>
      </c>
      <c r="J20" s="4"/>
      <c r="K20" s="4"/>
      <c r="L20" s="4"/>
    </row>
    <row r="21" spans="2:12" x14ac:dyDescent="0.25">
      <c r="B21" s="35" t="s">
        <v>84</v>
      </c>
      <c r="C21" s="36">
        <v>757785</v>
      </c>
      <c r="D21" s="37">
        <f t="shared" si="0"/>
        <v>2.0998671354678206E-3</v>
      </c>
      <c r="E21" s="37">
        <f t="shared" si="1"/>
        <v>1.5076023037335405E-3</v>
      </c>
      <c r="F21" s="36">
        <v>914793</v>
      </c>
      <c r="G21" s="37">
        <f t="shared" si="2"/>
        <v>2.5308208994808262E-3</v>
      </c>
      <c r="H21" s="37">
        <f t="shared" si="3"/>
        <v>1.7718930249015497E-3</v>
      </c>
      <c r="I21" s="38">
        <f>(F21-C21)/C21</f>
        <v>0.20719333320136979</v>
      </c>
      <c r="J21" s="4"/>
      <c r="K21" s="4"/>
      <c r="L21" s="4"/>
    </row>
    <row r="22" spans="2:12" x14ac:dyDescent="0.25">
      <c r="B22" s="35" t="s">
        <v>39</v>
      </c>
      <c r="C22" s="36">
        <v>8758023</v>
      </c>
      <c r="D22" s="37">
        <f t="shared" si="0"/>
        <v>2.4269000665586266E-2</v>
      </c>
      <c r="E22" s="37">
        <f t="shared" si="1"/>
        <v>1.7423960161459168E-2</v>
      </c>
      <c r="F22" s="39" t="s">
        <v>1</v>
      </c>
      <c r="G22" s="39" t="s">
        <v>1</v>
      </c>
      <c r="H22" s="39" t="s">
        <v>1</v>
      </c>
      <c r="I22" s="40" t="s">
        <v>1</v>
      </c>
      <c r="J22" s="4"/>
      <c r="K22" s="4"/>
      <c r="L22" s="4"/>
    </row>
    <row r="23" spans="2:12" s="5" customFormat="1" ht="30" customHeight="1" x14ac:dyDescent="0.25">
      <c r="B23" s="57" t="s">
        <v>59</v>
      </c>
      <c r="C23" s="47">
        <f>SUM(C7:C22)</f>
        <v>360872832</v>
      </c>
      <c r="D23" s="48">
        <f>SUM(D7:D22)</f>
        <v>0.99999999999999967</v>
      </c>
      <c r="E23" s="48">
        <f>C23/C$37</f>
        <v>0.71795128285469756</v>
      </c>
      <c r="F23" s="47">
        <f>SUM(F7:F22)</f>
        <v>361460979</v>
      </c>
      <c r="G23" s="48">
        <f>SUM(G7:G22)</f>
        <v>1</v>
      </c>
      <c r="H23" s="48">
        <f t="shared" si="3"/>
        <v>0.70012580711066386</v>
      </c>
      <c r="I23" s="49">
        <f>(F23-C23)/C23</f>
        <v>1.629790186034287E-3</v>
      </c>
      <c r="J23" s="6"/>
      <c r="K23" s="6"/>
      <c r="L23" s="6"/>
    </row>
    <row r="24" spans="2:12" x14ac:dyDescent="0.25">
      <c r="B24" s="89" t="s">
        <v>60</v>
      </c>
      <c r="C24" s="90"/>
      <c r="D24" s="90"/>
      <c r="E24" s="90"/>
      <c r="F24" s="90"/>
      <c r="G24" s="90"/>
      <c r="H24" s="90"/>
      <c r="I24" s="91"/>
      <c r="J24" s="7"/>
      <c r="K24" s="7"/>
      <c r="L24" s="4"/>
    </row>
    <row r="25" spans="2:12" x14ac:dyDescent="0.25">
      <c r="B25" s="41" t="s">
        <v>43</v>
      </c>
      <c r="C25" s="36">
        <v>23485704</v>
      </c>
      <c r="D25" s="37">
        <f>C25/C$36</f>
        <v>0.16566098614291799</v>
      </c>
      <c r="E25" s="37">
        <f>C25/C$37</f>
        <v>4.6724468622635747E-2</v>
      </c>
      <c r="F25" s="36">
        <v>31502873</v>
      </c>
      <c r="G25" s="37">
        <f>F25/F$36</f>
        <v>0.20348187748976126</v>
      </c>
      <c r="H25" s="37">
        <f>F25/F$37</f>
        <v>6.1018963779848945E-2</v>
      </c>
      <c r="I25" s="38">
        <f>(F25-C25)/C25</f>
        <v>0.34136379305470255</v>
      </c>
      <c r="J25" s="8" t="s">
        <v>0</v>
      </c>
      <c r="K25" s="9" t="s">
        <v>0</v>
      </c>
    </row>
    <row r="26" spans="2:12" x14ac:dyDescent="0.25">
      <c r="B26" s="41" t="s">
        <v>42</v>
      </c>
      <c r="C26" s="36">
        <v>25001938</v>
      </c>
      <c r="D26" s="37">
        <f t="shared" ref="D26:D35" si="5">C26/C$36</f>
        <v>0.17635603789284302</v>
      </c>
      <c r="E26" s="37">
        <f t="shared" ref="E26:E36" si="6">C26/C$37</f>
        <v>4.974099424850472E-2</v>
      </c>
      <c r="F26" s="36">
        <v>27377383</v>
      </c>
      <c r="G26" s="37">
        <f t="shared" ref="G26:G35" si="7">F26/F$36</f>
        <v>0.1768347062693702</v>
      </c>
      <c r="H26" s="37">
        <f t="shared" si="3"/>
        <v>5.3028164817350218E-2</v>
      </c>
      <c r="I26" s="38">
        <f t="shared" si="4"/>
        <v>9.5010434791095E-2</v>
      </c>
    </row>
    <row r="27" spans="2:12" x14ac:dyDescent="0.25">
      <c r="B27" s="41" t="s">
        <v>40</v>
      </c>
      <c r="C27" s="36">
        <v>24897340</v>
      </c>
      <c r="D27" s="37">
        <f t="shared" si="5"/>
        <v>0.17561823553322131</v>
      </c>
      <c r="E27" s="37">
        <f t="shared" si="6"/>
        <v>4.9532898039466644E-2</v>
      </c>
      <c r="F27" s="36">
        <v>20788401</v>
      </c>
      <c r="G27" s="37">
        <f t="shared" si="7"/>
        <v>0.13427546324076636</v>
      </c>
      <c r="H27" s="37">
        <f t="shared" si="3"/>
        <v>4.026574616416654E-2</v>
      </c>
      <c r="I27" s="38">
        <f>(F27-C27)/C27</f>
        <v>-0.16503526079492831</v>
      </c>
    </row>
    <row r="28" spans="2:12" x14ac:dyDescent="0.25">
      <c r="B28" s="41" t="s">
        <v>44</v>
      </c>
      <c r="C28" s="36">
        <v>12891604</v>
      </c>
      <c r="D28" s="37">
        <f t="shared" si="5"/>
        <v>9.0933438980751277E-2</v>
      </c>
      <c r="E28" s="37">
        <f t="shared" si="6"/>
        <v>2.5647659810131538E-2</v>
      </c>
      <c r="F28" s="36">
        <v>13972923</v>
      </c>
      <c r="G28" s="37">
        <f t="shared" si="7"/>
        <v>9.0253247888212207E-2</v>
      </c>
      <c r="H28" s="37">
        <f>F28/F$37</f>
        <v>2.7064619866118821E-2</v>
      </c>
      <c r="I28" s="38">
        <f t="shared" si="4"/>
        <v>8.3877770368993645E-2</v>
      </c>
    </row>
    <row r="29" spans="2:12" x14ac:dyDescent="0.25">
      <c r="B29" s="41" t="s">
        <v>41</v>
      </c>
      <c r="C29" s="36">
        <v>14195644</v>
      </c>
      <c r="D29" s="37">
        <f t="shared" si="5"/>
        <v>0.10013173903468241</v>
      </c>
      <c r="E29" s="37">
        <f t="shared" si="6"/>
        <v>2.824202854026038E-2</v>
      </c>
      <c r="F29" s="36">
        <v>13483139</v>
      </c>
      <c r="G29" s="37">
        <f t="shared" si="7"/>
        <v>8.708965808215087E-2</v>
      </c>
      <c r="H29" s="37">
        <f t="shared" si="3"/>
        <v>2.6115940926393244E-2</v>
      </c>
      <c r="I29" s="38">
        <f t="shared" si="4"/>
        <v>-5.0191805317180399E-2</v>
      </c>
    </row>
    <row r="30" spans="2:12" x14ac:dyDescent="0.25">
      <c r="B30" s="41" t="s">
        <v>83</v>
      </c>
      <c r="C30" s="36">
        <v>9435157</v>
      </c>
      <c r="D30" s="37">
        <f t="shared" si="5"/>
        <v>6.6552717050051197E-2</v>
      </c>
      <c r="E30" s="37">
        <f t="shared" si="6"/>
        <v>1.8771108466501239E-2</v>
      </c>
      <c r="F30" s="36">
        <v>11088252</v>
      </c>
      <c r="G30" s="37">
        <f t="shared" si="7"/>
        <v>7.1620716467339363E-2</v>
      </c>
      <c r="H30" s="37">
        <f t="shared" si="3"/>
        <v>2.1477204544799379E-2</v>
      </c>
      <c r="I30" s="38">
        <f>(F30-C30)/C30</f>
        <v>0.17520588157674535</v>
      </c>
    </row>
    <row r="31" spans="2:12" x14ac:dyDescent="0.25">
      <c r="B31" s="41" t="s">
        <v>45</v>
      </c>
      <c r="C31" s="36">
        <v>9356566</v>
      </c>
      <c r="D31" s="37">
        <f t="shared" si="5"/>
        <v>6.5998360128838279E-2</v>
      </c>
      <c r="E31" s="37">
        <f t="shared" si="6"/>
        <v>1.8614752808032514E-2</v>
      </c>
      <c r="F31" s="36">
        <v>10976648</v>
      </c>
      <c r="G31" s="37">
        <f t="shared" si="7"/>
        <v>7.0899849152940217E-2</v>
      </c>
      <c r="H31" s="37">
        <f t="shared" si="3"/>
        <v>2.1261035040713631E-2</v>
      </c>
      <c r="I31" s="38">
        <f t="shared" si="4"/>
        <v>0.1731492088016052</v>
      </c>
    </row>
    <row r="32" spans="2:12" x14ac:dyDescent="0.25">
      <c r="B32" s="43" t="s">
        <v>86</v>
      </c>
      <c r="C32" s="36">
        <v>9763430</v>
      </c>
      <c r="D32" s="37">
        <f t="shared" si="5"/>
        <v>6.8868254574670176E-2</v>
      </c>
      <c r="E32" s="37">
        <f t="shared" si="6"/>
        <v>1.9424202854821833E-2</v>
      </c>
      <c r="F32" s="36">
        <v>10830507</v>
      </c>
      <c r="G32" s="37">
        <f t="shared" si="7"/>
        <v>6.9955902070455669E-2</v>
      </c>
      <c r="H32" s="37">
        <f t="shared" si="3"/>
        <v>2.0977969671223333E-2</v>
      </c>
      <c r="I32" s="38">
        <f t="shared" si="4"/>
        <v>0.1092932504253116</v>
      </c>
    </row>
    <row r="33" spans="2:9" x14ac:dyDescent="0.25">
      <c r="B33" s="41" t="s">
        <v>88</v>
      </c>
      <c r="C33" s="36">
        <v>9347802</v>
      </c>
      <c r="D33" s="37">
        <f t="shared" si="5"/>
        <v>6.5936541548370919E-2</v>
      </c>
      <c r="E33" s="37">
        <f t="shared" si="6"/>
        <v>1.8597316956715952E-2</v>
      </c>
      <c r="F33" s="36">
        <v>10459270</v>
      </c>
      <c r="G33" s="37">
        <f t="shared" si="7"/>
        <v>6.7558025478258302E-2</v>
      </c>
      <c r="H33" s="37">
        <f t="shared" si="3"/>
        <v>2.0258908363489914E-2</v>
      </c>
      <c r="I33" s="38">
        <f t="shared" si="4"/>
        <v>0.11890153428581393</v>
      </c>
    </row>
    <row r="34" spans="2:9" x14ac:dyDescent="0.25">
      <c r="B34" s="41" t="s">
        <v>46</v>
      </c>
      <c r="C34" s="36">
        <v>1486705</v>
      </c>
      <c r="D34" s="37">
        <f t="shared" si="5"/>
        <v>1.0486763198736001E-2</v>
      </c>
      <c r="E34" s="37">
        <f t="shared" si="6"/>
        <v>2.9577781072100576E-3</v>
      </c>
      <c r="F34" s="36">
        <v>2425192</v>
      </c>
      <c r="G34" s="37">
        <f t="shared" si="7"/>
        <v>1.5664686247287639E-2</v>
      </c>
      <c r="H34" s="37">
        <f t="shared" si="3"/>
        <v>4.6974351452700657E-3</v>
      </c>
      <c r="I34" s="38">
        <f>(F34-C34)/C34</f>
        <v>0.63125300580814625</v>
      </c>
    </row>
    <row r="35" spans="2:9" x14ac:dyDescent="0.25">
      <c r="B35" s="41" t="s">
        <v>87</v>
      </c>
      <c r="C35" s="36">
        <v>1907784</v>
      </c>
      <c r="D35" s="37">
        <f t="shared" si="5"/>
        <v>1.3456925914917459E-2</v>
      </c>
      <c r="E35" s="37">
        <f t="shared" si="6"/>
        <v>3.7955086910218452E-3</v>
      </c>
      <c r="F35" s="36">
        <v>1914472</v>
      </c>
      <c r="G35" s="37">
        <f t="shared" si="7"/>
        <v>1.2365867613457929E-2</v>
      </c>
      <c r="H35" s="37">
        <f>F35/F$37</f>
        <v>3.7082045699620781E-3</v>
      </c>
      <c r="I35" s="38">
        <f>(F35-C35)/C35</f>
        <v>3.505637954820881E-3</v>
      </c>
    </row>
    <row r="36" spans="2:9" s="5" customFormat="1" ht="30.75" customHeight="1" x14ac:dyDescent="0.25">
      <c r="B36" s="57" t="s">
        <v>61</v>
      </c>
      <c r="C36" s="47">
        <f>SUM(C25:C35)</f>
        <v>141769674</v>
      </c>
      <c r="D36" s="48">
        <f>SUM(D25:D35)</f>
        <v>1</v>
      </c>
      <c r="E36" s="48">
        <f t="shared" si="6"/>
        <v>0.2820487171453025</v>
      </c>
      <c r="F36" s="47">
        <f>SUM(F25:F35)</f>
        <v>154819060</v>
      </c>
      <c r="G36" s="48">
        <f>SUM(G25:G35)</f>
        <v>1</v>
      </c>
      <c r="H36" s="48">
        <f>F36/F$37</f>
        <v>0.29987419288933614</v>
      </c>
      <c r="I36" s="49">
        <f>(F36-C36)/C36</f>
        <v>9.2046385040005105E-2</v>
      </c>
    </row>
    <row r="37" spans="2:9" ht="30" customHeight="1" thickBot="1" x14ac:dyDescent="0.3">
      <c r="B37" s="58" t="s">
        <v>62</v>
      </c>
      <c r="C37" s="59">
        <f>C23+C36</f>
        <v>502642506</v>
      </c>
      <c r="D37" s="59"/>
      <c r="E37" s="54">
        <f>E23+E36</f>
        <v>1</v>
      </c>
      <c r="F37" s="59">
        <f>F23+F36</f>
        <v>516280039</v>
      </c>
      <c r="G37" s="59"/>
      <c r="H37" s="54">
        <f>H23+H36</f>
        <v>1</v>
      </c>
      <c r="I37" s="55">
        <f>(F37-C37)/C37</f>
        <v>2.7131674773243311E-2</v>
      </c>
    </row>
  </sheetData>
  <mergeCells count="7">
    <mergeCell ref="B2:I2"/>
    <mergeCell ref="B6:I6"/>
    <mergeCell ref="B24:I24"/>
    <mergeCell ref="B4:B5"/>
    <mergeCell ref="I4:I5"/>
    <mergeCell ref="C4:E4"/>
    <mergeCell ref="F4:H4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75" orientation="landscape" r:id="rId1"/>
  <headerFooter>
    <oddHeader>&amp;LAgencija za osiguranje u BiH&amp;CStatistika tržišta osiguranja&amp;RGodišnje izvješće</oddHeader>
    <oddFooter>&amp;CU izvješće su uključeni podatci zaključno s 31.12.2010. godine.</oddFooter>
  </headerFooter>
  <ignoredErrors>
    <ignoredError sqref="E23 E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6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140625" style="1" customWidth="1"/>
    <col min="2" max="2" width="39.140625" style="1" customWidth="1"/>
    <col min="3" max="3" width="14.42578125" style="1" customWidth="1"/>
    <col min="4" max="4" width="14.28515625" style="1" customWidth="1"/>
    <col min="5" max="5" width="13.28515625" style="1" customWidth="1"/>
    <col min="6" max="6" width="11.28515625" style="1" bestFit="1" customWidth="1"/>
    <col min="7" max="16384" width="10.28515625" style="1"/>
  </cols>
  <sheetData>
    <row r="2" spans="2:6" x14ac:dyDescent="0.25">
      <c r="B2" s="78" t="s">
        <v>92</v>
      </c>
      <c r="C2" s="79"/>
      <c r="D2" s="79"/>
      <c r="E2" s="80"/>
      <c r="F2" s="11"/>
    </row>
    <row r="3" spans="2:6" ht="16.5" thickBot="1" x14ac:dyDescent="0.3">
      <c r="B3" s="2"/>
      <c r="C3" s="11"/>
      <c r="D3" s="11"/>
      <c r="E3" s="11"/>
      <c r="F3" s="11"/>
    </row>
    <row r="4" spans="2:6" ht="41.25" customHeight="1" x14ac:dyDescent="0.25">
      <c r="B4" s="62" t="s">
        <v>51</v>
      </c>
      <c r="C4" s="60" t="s">
        <v>57</v>
      </c>
      <c r="D4" s="60" t="s">
        <v>52</v>
      </c>
      <c r="E4" s="61" t="s">
        <v>68</v>
      </c>
    </row>
    <row r="5" spans="2:6" x14ac:dyDescent="0.25">
      <c r="B5" s="97" t="s">
        <v>58</v>
      </c>
      <c r="C5" s="98"/>
      <c r="D5" s="98"/>
      <c r="E5" s="99"/>
    </row>
    <row r="6" spans="2:6" x14ac:dyDescent="0.25">
      <c r="B6" s="67" t="s">
        <v>47</v>
      </c>
      <c r="C6" s="68">
        <v>2127353</v>
      </c>
      <c r="D6" s="68">
        <v>2125406</v>
      </c>
      <c r="E6" s="69">
        <f>(D6-C6)/C6</f>
        <v>-9.1522187431987076E-4</v>
      </c>
    </row>
    <row r="7" spans="2:6" x14ac:dyDescent="0.25">
      <c r="B7" s="67" t="s">
        <v>27</v>
      </c>
      <c r="C7" s="68">
        <v>3343410</v>
      </c>
      <c r="D7" s="68">
        <v>2122117</v>
      </c>
      <c r="E7" s="69">
        <f t="shared" ref="E7:E33" si="0">(D7-C7)/C7</f>
        <v>-0.36528364753350623</v>
      </c>
    </row>
    <row r="8" spans="2:6" x14ac:dyDescent="0.25">
      <c r="B8" s="67" t="s">
        <v>31</v>
      </c>
      <c r="C8" s="68">
        <v>2001802</v>
      </c>
      <c r="D8" s="68">
        <v>2055045</v>
      </c>
      <c r="E8" s="69">
        <f>(D8-C8)/C8</f>
        <v>2.6597535620406013E-2</v>
      </c>
    </row>
    <row r="9" spans="2:6" x14ac:dyDescent="0.25">
      <c r="B9" s="67" t="s">
        <v>33</v>
      </c>
      <c r="C9" s="68">
        <v>1254270</v>
      </c>
      <c r="D9" s="68">
        <v>1629578</v>
      </c>
      <c r="E9" s="69">
        <f t="shared" si="0"/>
        <v>0.29922424996212937</v>
      </c>
    </row>
    <row r="10" spans="2:6" x14ac:dyDescent="0.25">
      <c r="B10" s="67" t="s">
        <v>28</v>
      </c>
      <c r="C10" s="68">
        <v>1329860</v>
      </c>
      <c r="D10" s="68">
        <v>1522230</v>
      </c>
      <c r="E10" s="69">
        <f>(D10-C10)/C10</f>
        <v>0.14465432451536253</v>
      </c>
    </row>
    <row r="11" spans="2:6" x14ac:dyDescent="0.25">
      <c r="B11" s="67" t="s">
        <v>29</v>
      </c>
      <c r="C11" s="68">
        <v>1138731</v>
      </c>
      <c r="D11" s="68">
        <v>982630</v>
      </c>
      <c r="E11" s="69">
        <f t="shared" si="0"/>
        <v>-0.13708329710879918</v>
      </c>
    </row>
    <row r="12" spans="2:6" x14ac:dyDescent="0.25">
      <c r="B12" s="67" t="s">
        <v>90</v>
      </c>
      <c r="C12" s="68">
        <v>3141675</v>
      </c>
      <c r="D12" s="68">
        <v>845026</v>
      </c>
      <c r="E12" s="69">
        <f t="shared" si="0"/>
        <v>-0.73102692035299643</v>
      </c>
    </row>
    <row r="13" spans="2:6" x14ac:dyDescent="0.25">
      <c r="B13" s="67" t="s">
        <v>34</v>
      </c>
      <c r="C13" s="68">
        <v>772576</v>
      </c>
      <c r="D13" s="68">
        <v>580107</v>
      </c>
      <c r="E13" s="69">
        <f t="shared" si="0"/>
        <v>-0.24912629954852339</v>
      </c>
    </row>
    <row r="14" spans="2:6" x14ac:dyDescent="0.25">
      <c r="B14" s="67" t="s">
        <v>30</v>
      </c>
      <c r="C14" s="68">
        <v>858065</v>
      </c>
      <c r="D14" s="68">
        <v>547967</v>
      </c>
      <c r="E14" s="69">
        <f t="shared" si="0"/>
        <v>-0.36139220222244234</v>
      </c>
    </row>
    <row r="15" spans="2:6" x14ac:dyDescent="0.25">
      <c r="B15" s="67" t="s">
        <v>32</v>
      </c>
      <c r="C15" s="68">
        <v>568917</v>
      </c>
      <c r="D15" s="68">
        <v>538197</v>
      </c>
      <c r="E15" s="69">
        <f t="shared" si="0"/>
        <v>-5.3997331772472963E-2</v>
      </c>
    </row>
    <row r="16" spans="2:6" x14ac:dyDescent="0.25">
      <c r="B16" s="67" t="s">
        <v>35</v>
      </c>
      <c r="C16" s="68">
        <v>71239</v>
      </c>
      <c r="D16" s="68">
        <v>85404</v>
      </c>
      <c r="E16" s="69">
        <f t="shared" si="0"/>
        <v>0.19883771529639663</v>
      </c>
    </row>
    <row r="17" spans="2:5" x14ac:dyDescent="0.25">
      <c r="B17" s="67" t="s">
        <v>37</v>
      </c>
      <c r="C17" s="68">
        <v>98662</v>
      </c>
      <c r="D17" s="68">
        <v>55642</v>
      </c>
      <c r="E17" s="69">
        <f t="shared" si="0"/>
        <v>-0.43603413674971114</v>
      </c>
    </row>
    <row r="18" spans="2:5" x14ac:dyDescent="0.25">
      <c r="B18" s="67" t="s">
        <v>36</v>
      </c>
      <c r="C18" s="68">
        <v>321923</v>
      </c>
      <c r="D18" s="68">
        <v>37569</v>
      </c>
      <c r="E18" s="69">
        <f t="shared" si="0"/>
        <v>-0.88329817999956506</v>
      </c>
    </row>
    <row r="19" spans="2:5" x14ac:dyDescent="0.25">
      <c r="B19" s="67" t="s">
        <v>38</v>
      </c>
      <c r="C19" s="68">
        <v>16854</v>
      </c>
      <c r="D19" s="68">
        <v>6983</v>
      </c>
      <c r="E19" s="69">
        <f t="shared" si="0"/>
        <v>-0.58567699062537082</v>
      </c>
    </row>
    <row r="20" spans="2:5" x14ac:dyDescent="0.25">
      <c r="B20" s="67" t="s">
        <v>84</v>
      </c>
      <c r="C20" s="68">
        <v>-533516</v>
      </c>
      <c r="D20" s="68">
        <v>-2596342</v>
      </c>
      <c r="E20" s="69">
        <f t="shared" si="0"/>
        <v>3.8664744824897475</v>
      </c>
    </row>
    <row r="21" spans="2:5" x14ac:dyDescent="0.25">
      <c r="B21" s="67" t="s">
        <v>39</v>
      </c>
      <c r="C21" s="68">
        <v>-461087</v>
      </c>
      <c r="D21" s="68" t="s">
        <v>1</v>
      </c>
      <c r="E21" s="40" t="s">
        <v>1</v>
      </c>
    </row>
    <row r="22" spans="2:5" s="5" customFormat="1" ht="26.25" customHeight="1" x14ac:dyDescent="0.25">
      <c r="B22" s="46" t="s">
        <v>59</v>
      </c>
      <c r="C22" s="47">
        <f>SUM(C6:C21)</f>
        <v>16050734</v>
      </c>
      <c r="D22" s="47">
        <f>SUM(D6:D21)</f>
        <v>10537559</v>
      </c>
      <c r="E22" s="70">
        <f>(D22-C22)/C22</f>
        <v>-0.3434842917464086</v>
      </c>
    </row>
    <row r="23" spans="2:5" x14ac:dyDescent="0.25">
      <c r="B23" s="97" t="s">
        <v>60</v>
      </c>
      <c r="C23" s="98"/>
      <c r="D23" s="98"/>
      <c r="E23" s="99"/>
    </row>
    <row r="24" spans="2:5" x14ac:dyDescent="0.25">
      <c r="B24" s="71" t="s">
        <v>41</v>
      </c>
      <c r="C24" s="72">
        <v>5468462</v>
      </c>
      <c r="D24" s="73">
        <v>5890168</v>
      </c>
      <c r="E24" s="69">
        <f>(D24-C24)/C24</f>
        <v>7.7116015435418586E-2</v>
      </c>
    </row>
    <row r="25" spans="2:5" x14ac:dyDescent="0.25">
      <c r="B25" s="71" t="s">
        <v>43</v>
      </c>
      <c r="C25" s="72">
        <v>313082</v>
      </c>
      <c r="D25" s="73">
        <v>3745306</v>
      </c>
      <c r="E25" s="69">
        <f>(D25-C25)/C25</f>
        <v>10.962699867766272</v>
      </c>
    </row>
    <row r="26" spans="2:5" x14ac:dyDescent="0.25">
      <c r="B26" s="71" t="s">
        <v>83</v>
      </c>
      <c r="C26" s="72">
        <v>2398819</v>
      </c>
      <c r="D26" s="73">
        <v>3344124</v>
      </c>
      <c r="E26" s="69">
        <f>(D26-C26)/C26</f>
        <v>0.39407099910414251</v>
      </c>
    </row>
    <row r="27" spans="2:5" x14ac:dyDescent="0.25">
      <c r="B27" s="71" t="s">
        <v>48</v>
      </c>
      <c r="C27" s="72">
        <v>1452404</v>
      </c>
      <c r="D27" s="73">
        <v>2283847</v>
      </c>
      <c r="E27" s="69">
        <f>(D27-C27)/C27</f>
        <v>0.57245986653851133</v>
      </c>
    </row>
    <row r="28" spans="2:5" ht="17.25" customHeight="1" x14ac:dyDescent="0.25">
      <c r="B28" s="71" t="s">
        <v>88</v>
      </c>
      <c r="C28" s="72">
        <v>1095649</v>
      </c>
      <c r="D28" s="73">
        <v>1131578</v>
      </c>
      <c r="E28" s="69">
        <f t="shared" ref="E28:E34" si="1">(D28-C28)/C28</f>
        <v>3.2792436263803459E-2</v>
      </c>
    </row>
    <row r="29" spans="2:5" x14ac:dyDescent="0.25">
      <c r="B29" s="71" t="s">
        <v>49</v>
      </c>
      <c r="C29" s="72">
        <v>-3207974</v>
      </c>
      <c r="D29" s="73">
        <v>436934</v>
      </c>
      <c r="E29" s="69">
        <f t="shared" si="1"/>
        <v>-1.1362024754564719</v>
      </c>
    </row>
    <row r="30" spans="2:5" x14ac:dyDescent="0.25">
      <c r="B30" s="71" t="s">
        <v>46</v>
      </c>
      <c r="C30" s="72">
        <v>96612</v>
      </c>
      <c r="D30" s="73">
        <v>411380</v>
      </c>
      <c r="E30" s="69">
        <f t="shared" si="1"/>
        <v>3.2580631805572806</v>
      </c>
    </row>
    <row r="31" spans="2:5" x14ac:dyDescent="0.25">
      <c r="B31" s="71" t="s">
        <v>45</v>
      </c>
      <c r="C31" s="72">
        <v>10524</v>
      </c>
      <c r="D31" s="73">
        <v>32128</v>
      </c>
      <c r="E31" s="69">
        <f t="shared" si="1"/>
        <v>2.0528316229570507</v>
      </c>
    </row>
    <row r="32" spans="2:5" x14ac:dyDescent="0.25">
      <c r="B32" s="74" t="s">
        <v>86</v>
      </c>
      <c r="C32" s="72">
        <v>-4404817</v>
      </c>
      <c r="D32" s="73">
        <v>26568</v>
      </c>
      <c r="E32" s="69">
        <f t="shared" si="1"/>
        <v>-1.0060315786104168</v>
      </c>
    </row>
    <row r="33" spans="2:5" x14ac:dyDescent="0.25">
      <c r="B33" s="71" t="s">
        <v>87</v>
      </c>
      <c r="C33" s="72">
        <v>61153</v>
      </c>
      <c r="D33" s="73">
        <v>11773</v>
      </c>
      <c r="E33" s="69">
        <f t="shared" si="1"/>
        <v>-0.80748287083217507</v>
      </c>
    </row>
    <row r="34" spans="2:5" x14ac:dyDescent="0.25">
      <c r="B34" s="71" t="s">
        <v>40</v>
      </c>
      <c r="C34" s="72">
        <v>589810</v>
      </c>
      <c r="D34" s="75">
        <v>-3127574</v>
      </c>
      <c r="E34" s="69">
        <f t="shared" si="1"/>
        <v>-6.3026805242366182</v>
      </c>
    </row>
    <row r="35" spans="2:5" s="5" customFormat="1" ht="26.25" customHeight="1" x14ac:dyDescent="0.25">
      <c r="B35" s="46" t="s">
        <v>61</v>
      </c>
      <c r="C35" s="47">
        <f>SUM(C24:C34)</f>
        <v>3873724</v>
      </c>
      <c r="D35" s="47">
        <f>SUM(D24:D34)</f>
        <v>14186232</v>
      </c>
      <c r="E35" s="70">
        <f>(D35-C35)/C35</f>
        <v>2.6621690135900233</v>
      </c>
    </row>
    <row r="36" spans="2:5" s="10" customFormat="1" ht="26.25" customHeight="1" thickBot="1" x14ac:dyDescent="0.3">
      <c r="B36" s="51" t="s">
        <v>62</v>
      </c>
      <c r="C36" s="76">
        <f>C22+C35</f>
        <v>19924458</v>
      </c>
      <c r="D36" s="76">
        <f>D22+D35</f>
        <v>24723791</v>
      </c>
      <c r="E36" s="77">
        <f>(D36-C36)/C36</f>
        <v>0.24087646449404043</v>
      </c>
    </row>
  </sheetData>
  <mergeCells count="3">
    <mergeCell ref="B2:E2"/>
    <mergeCell ref="B5:E5"/>
    <mergeCell ref="B23:E23"/>
  </mergeCells>
  <phoneticPr fontId="3" type="noConversion"/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31.12.2010.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C12"/>
  <sheetViews>
    <sheetView showGridLines="0" workbookViewId="0">
      <pane xSplit="3" topLeftCell="D1" activePane="topRight" state="frozen"/>
      <selection pane="topRight" activeCell="B2" sqref="B2:CC2"/>
    </sheetView>
  </sheetViews>
  <sheetFormatPr defaultRowHeight="15" x14ac:dyDescent="0.25"/>
  <cols>
    <col min="1" max="1" width="2" style="13" customWidth="1"/>
    <col min="2" max="2" width="5.140625" style="13" customWidth="1"/>
    <col min="3" max="3" width="34.85546875" style="13" customWidth="1"/>
    <col min="4" max="81" width="11" style="13" customWidth="1"/>
    <col min="82" max="16384" width="9.140625" style="13"/>
  </cols>
  <sheetData>
    <row r="2" spans="2:81" x14ac:dyDescent="0.25">
      <c r="B2" s="102" t="s">
        <v>93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</row>
    <row r="3" spans="2:81" ht="15.75" thickBot="1" x14ac:dyDescent="0.3"/>
    <row r="4" spans="2:81" ht="19.5" customHeight="1" x14ac:dyDescent="0.3">
      <c r="B4" s="104" t="s">
        <v>69</v>
      </c>
      <c r="C4" s="106" t="s">
        <v>91</v>
      </c>
      <c r="D4" s="108" t="s">
        <v>58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 t="s">
        <v>60</v>
      </c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9"/>
    </row>
    <row r="5" spans="2:81" ht="30" customHeight="1" x14ac:dyDescent="0.25">
      <c r="B5" s="105"/>
      <c r="C5" s="107"/>
      <c r="D5" s="100" t="s">
        <v>2</v>
      </c>
      <c r="E5" s="100"/>
      <c r="F5" s="100"/>
      <c r="G5" s="100" t="s">
        <v>3</v>
      </c>
      <c r="H5" s="100"/>
      <c r="I5" s="100"/>
      <c r="J5" s="101" t="s">
        <v>4</v>
      </c>
      <c r="K5" s="101"/>
      <c r="L5" s="101"/>
      <c r="M5" s="100" t="s">
        <v>5</v>
      </c>
      <c r="N5" s="100"/>
      <c r="O5" s="100"/>
      <c r="P5" s="101" t="s">
        <v>6</v>
      </c>
      <c r="Q5" s="101"/>
      <c r="R5" s="101"/>
      <c r="S5" s="101" t="s">
        <v>7</v>
      </c>
      <c r="T5" s="101"/>
      <c r="U5" s="101"/>
      <c r="V5" s="100" t="s">
        <v>8</v>
      </c>
      <c r="W5" s="100"/>
      <c r="X5" s="100"/>
      <c r="Y5" s="101" t="s">
        <v>9</v>
      </c>
      <c r="Z5" s="101"/>
      <c r="AA5" s="101"/>
      <c r="AB5" s="101" t="s">
        <v>10</v>
      </c>
      <c r="AC5" s="101"/>
      <c r="AD5" s="101"/>
      <c r="AE5" s="101" t="s">
        <v>89</v>
      </c>
      <c r="AF5" s="101"/>
      <c r="AG5" s="101"/>
      <c r="AH5" s="100" t="s">
        <v>11</v>
      </c>
      <c r="AI5" s="100"/>
      <c r="AJ5" s="100"/>
      <c r="AK5" s="100" t="s">
        <v>12</v>
      </c>
      <c r="AL5" s="100"/>
      <c r="AM5" s="100"/>
      <c r="AN5" s="100" t="s">
        <v>13</v>
      </c>
      <c r="AO5" s="100"/>
      <c r="AP5" s="100"/>
      <c r="AQ5" s="101" t="s">
        <v>14</v>
      </c>
      <c r="AR5" s="101"/>
      <c r="AS5" s="101"/>
      <c r="AT5" s="101" t="s">
        <v>15</v>
      </c>
      <c r="AU5" s="101"/>
      <c r="AV5" s="101"/>
      <c r="AW5" s="101" t="s">
        <v>16</v>
      </c>
      <c r="AX5" s="101"/>
      <c r="AY5" s="101"/>
      <c r="AZ5" s="100" t="s">
        <v>17</v>
      </c>
      <c r="BA5" s="100"/>
      <c r="BB5" s="100"/>
      <c r="BC5" s="101" t="s">
        <v>18</v>
      </c>
      <c r="BD5" s="101"/>
      <c r="BE5" s="101"/>
      <c r="BF5" s="100" t="s">
        <v>19</v>
      </c>
      <c r="BG5" s="100"/>
      <c r="BH5" s="100"/>
      <c r="BI5" s="100" t="s">
        <v>20</v>
      </c>
      <c r="BJ5" s="100"/>
      <c r="BK5" s="100"/>
      <c r="BL5" s="101" t="s">
        <v>26</v>
      </c>
      <c r="BM5" s="101"/>
      <c r="BN5" s="101"/>
      <c r="BO5" s="100" t="s">
        <v>21</v>
      </c>
      <c r="BP5" s="100"/>
      <c r="BQ5" s="100"/>
      <c r="BR5" s="101" t="s">
        <v>22</v>
      </c>
      <c r="BS5" s="101"/>
      <c r="BT5" s="101"/>
      <c r="BU5" s="100" t="s">
        <v>23</v>
      </c>
      <c r="BV5" s="100"/>
      <c r="BW5" s="100"/>
      <c r="BX5" s="100" t="s">
        <v>24</v>
      </c>
      <c r="BY5" s="100"/>
      <c r="BZ5" s="100"/>
      <c r="CA5" s="101" t="s">
        <v>25</v>
      </c>
      <c r="CB5" s="101"/>
      <c r="CC5" s="110"/>
    </row>
    <row r="6" spans="2:81" ht="24.75" customHeight="1" x14ac:dyDescent="0.25">
      <c r="B6" s="105"/>
      <c r="C6" s="107"/>
      <c r="D6" s="63" t="s">
        <v>57</v>
      </c>
      <c r="E6" s="63" t="s">
        <v>52</v>
      </c>
      <c r="F6" s="63" t="s">
        <v>82</v>
      </c>
      <c r="G6" s="63" t="s">
        <v>57</v>
      </c>
      <c r="H6" s="63" t="s">
        <v>52</v>
      </c>
      <c r="I6" s="63" t="s">
        <v>82</v>
      </c>
      <c r="J6" s="63" t="s">
        <v>57</v>
      </c>
      <c r="K6" s="63" t="s">
        <v>52</v>
      </c>
      <c r="L6" s="63" t="s">
        <v>82</v>
      </c>
      <c r="M6" s="63" t="s">
        <v>57</v>
      </c>
      <c r="N6" s="63" t="s">
        <v>52</v>
      </c>
      <c r="O6" s="63" t="s">
        <v>82</v>
      </c>
      <c r="P6" s="63" t="s">
        <v>57</v>
      </c>
      <c r="Q6" s="63" t="s">
        <v>52</v>
      </c>
      <c r="R6" s="63" t="s">
        <v>82</v>
      </c>
      <c r="S6" s="63" t="s">
        <v>57</v>
      </c>
      <c r="T6" s="63" t="s">
        <v>52</v>
      </c>
      <c r="U6" s="63" t="s">
        <v>82</v>
      </c>
      <c r="V6" s="63" t="s">
        <v>57</v>
      </c>
      <c r="W6" s="63" t="s">
        <v>52</v>
      </c>
      <c r="X6" s="63" t="s">
        <v>82</v>
      </c>
      <c r="Y6" s="63" t="s">
        <v>57</v>
      </c>
      <c r="Z6" s="63" t="s">
        <v>52</v>
      </c>
      <c r="AA6" s="63" t="s">
        <v>82</v>
      </c>
      <c r="AB6" s="63" t="s">
        <v>57</v>
      </c>
      <c r="AC6" s="63" t="s">
        <v>52</v>
      </c>
      <c r="AD6" s="63" t="s">
        <v>82</v>
      </c>
      <c r="AE6" s="63" t="s">
        <v>57</v>
      </c>
      <c r="AF6" s="63" t="s">
        <v>52</v>
      </c>
      <c r="AG6" s="63" t="s">
        <v>82</v>
      </c>
      <c r="AH6" s="63" t="s">
        <v>57</v>
      </c>
      <c r="AI6" s="63" t="s">
        <v>52</v>
      </c>
      <c r="AJ6" s="63" t="s">
        <v>82</v>
      </c>
      <c r="AK6" s="63" t="s">
        <v>57</v>
      </c>
      <c r="AL6" s="63" t="s">
        <v>52</v>
      </c>
      <c r="AM6" s="63" t="s">
        <v>82</v>
      </c>
      <c r="AN6" s="63" t="s">
        <v>57</v>
      </c>
      <c r="AO6" s="63" t="s">
        <v>52</v>
      </c>
      <c r="AP6" s="63" t="s">
        <v>82</v>
      </c>
      <c r="AQ6" s="63" t="s">
        <v>57</v>
      </c>
      <c r="AR6" s="63" t="s">
        <v>52</v>
      </c>
      <c r="AS6" s="63" t="s">
        <v>82</v>
      </c>
      <c r="AT6" s="63" t="s">
        <v>57</v>
      </c>
      <c r="AU6" s="63" t="s">
        <v>52</v>
      </c>
      <c r="AV6" s="63" t="s">
        <v>82</v>
      </c>
      <c r="AW6" s="63" t="s">
        <v>57</v>
      </c>
      <c r="AX6" s="63" t="s">
        <v>52</v>
      </c>
      <c r="AY6" s="63" t="s">
        <v>82</v>
      </c>
      <c r="AZ6" s="63" t="s">
        <v>57</v>
      </c>
      <c r="BA6" s="63" t="s">
        <v>52</v>
      </c>
      <c r="BB6" s="63" t="s">
        <v>82</v>
      </c>
      <c r="BC6" s="63" t="s">
        <v>57</v>
      </c>
      <c r="BD6" s="63" t="s">
        <v>52</v>
      </c>
      <c r="BE6" s="63" t="s">
        <v>82</v>
      </c>
      <c r="BF6" s="63" t="s">
        <v>57</v>
      </c>
      <c r="BG6" s="63" t="s">
        <v>52</v>
      </c>
      <c r="BH6" s="63" t="s">
        <v>82</v>
      </c>
      <c r="BI6" s="63" t="s">
        <v>57</v>
      </c>
      <c r="BJ6" s="63" t="s">
        <v>52</v>
      </c>
      <c r="BK6" s="63" t="s">
        <v>82</v>
      </c>
      <c r="BL6" s="63" t="s">
        <v>57</v>
      </c>
      <c r="BM6" s="63" t="s">
        <v>52</v>
      </c>
      <c r="BN6" s="63" t="s">
        <v>82</v>
      </c>
      <c r="BO6" s="63" t="s">
        <v>57</v>
      </c>
      <c r="BP6" s="63" t="s">
        <v>52</v>
      </c>
      <c r="BQ6" s="63" t="s">
        <v>82</v>
      </c>
      <c r="BR6" s="63" t="s">
        <v>57</v>
      </c>
      <c r="BS6" s="63" t="s">
        <v>52</v>
      </c>
      <c r="BT6" s="63" t="s">
        <v>82</v>
      </c>
      <c r="BU6" s="63" t="s">
        <v>57</v>
      </c>
      <c r="BV6" s="63" t="s">
        <v>52</v>
      </c>
      <c r="BW6" s="63" t="s">
        <v>82</v>
      </c>
      <c r="BX6" s="63" t="s">
        <v>57</v>
      </c>
      <c r="BY6" s="63" t="s">
        <v>52</v>
      </c>
      <c r="BZ6" s="63" t="s">
        <v>82</v>
      </c>
      <c r="CA6" s="63" t="s">
        <v>57</v>
      </c>
      <c r="CB6" s="63" t="s">
        <v>52</v>
      </c>
      <c r="CC6" s="65" t="s">
        <v>82</v>
      </c>
    </row>
    <row r="7" spans="2:81" ht="15" customHeight="1" x14ac:dyDescent="0.25">
      <c r="B7" s="14" t="s">
        <v>70</v>
      </c>
      <c r="C7" s="64" t="s">
        <v>71</v>
      </c>
      <c r="D7" s="15">
        <v>78004</v>
      </c>
      <c r="E7" s="15">
        <v>105270.26666666666</v>
      </c>
      <c r="F7" s="16">
        <f t="shared" ref="F7:F12" si="0">(E7-D7)/D7</f>
        <v>0.3495495957472266</v>
      </c>
      <c r="G7" s="15">
        <v>192366</v>
      </c>
      <c r="H7" s="15">
        <v>174367.89887640451</v>
      </c>
      <c r="I7" s="16">
        <f t="shared" ref="I7:I12" si="1">(H7-G7)/G7</f>
        <v>-9.3561757917695929E-2</v>
      </c>
      <c r="J7" s="15">
        <v>80028</v>
      </c>
      <c r="K7" s="15">
        <v>75995.572727272724</v>
      </c>
      <c r="L7" s="16">
        <f t="shared" ref="L7:L12" si="2">(K7-J7)/J7</f>
        <v>-5.038770521226666E-2</v>
      </c>
      <c r="M7" s="15">
        <v>184706</v>
      </c>
      <c r="N7" s="15">
        <v>195989.76683937825</v>
      </c>
      <c r="O7" s="16">
        <f t="shared" ref="O7:O12" si="3">(N7-M7)/M7</f>
        <v>6.1090418499551997E-2</v>
      </c>
      <c r="P7" s="15">
        <v>174450</v>
      </c>
      <c r="Q7" s="15">
        <v>173546.8125</v>
      </c>
      <c r="R7" s="16">
        <f t="shared" ref="R7:R12" si="4">(Q7-P7)/P7</f>
        <v>-5.1773430782459159E-3</v>
      </c>
      <c r="S7" s="15">
        <v>114590</v>
      </c>
      <c r="T7" s="15">
        <v>96487.507462686568</v>
      </c>
      <c r="U7" s="16">
        <f t="shared" ref="U7:U12" si="5">(T7-S7)/S7</f>
        <v>-0.15797619807412019</v>
      </c>
      <c r="V7" s="15">
        <v>87270</v>
      </c>
      <c r="W7" s="17" t="s">
        <v>1</v>
      </c>
      <c r="X7" s="16" t="s">
        <v>1</v>
      </c>
      <c r="Y7" s="15">
        <v>67329</v>
      </c>
      <c r="Z7" s="15">
        <v>51113.680272108846</v>
      </c>
      <c r="AA7" s="16">
        <f t="shared" ref="AA7:AA12" si="6">(Z7-Y7)/Y7</f>
        <v>-0.24083707953320491</v>
      </c>
      <c r="AB7" s="15">
        <v>55704</v>
      </c>
      <c r="AC7" s="15">
        <v>78062.75</v>
      </c>
      <c r="AD7" s="16">
        <f t="shared" ref="AD7:AD12" si="7">(AC7-AB7)/AB7</f>
        <v>0.40138499928191873</v>
      </c>
      <c r="AE7" s="15">
        <v>946877</v>
      </c>
      <c r="AF7" s="15">
        <v>1081491.7222222222</v>
      </c>
      <c r="AG7" s="16">
        <f t="shared" ref="AG7:AG12" si="8">(AF7-AE7)/AE7</f>
        <v>0.142167063116141</v>
      </c>
      <c r="AH7" s="15">
        <v>118203</v>
      </c>
      <c r="AI7" s="15">
        <v>121183.90289256198</v>
      </c>
      <c r="AJ7" s="16">
        <f t="shared" ref="AJ7:AJ12" si="9">(AI7-AH7)/AH7</f>
        <v>2.5218504543556244E-2</v>
      </c>
      <c r="AK7" s="15">
        <v>119673</v>
      </c>
      <c r="AL7" s="15">
        <v>128260.90725806452</v>
      </c>
      <c r="AM7" s="16">
        <f t="shared" ref="AM7:AM12" si="10">(AL7-AK7)/AK7</f>
        <v>7.1761443751426929E-2</v>
      </c>
      <c r="AN7" s="15">
        <v>200647</v>
      </c>
      <c r="AO7" s="15">
        <v>161834.66055045871</v>
      </c>
      <c r="AP7" s="16">
        <f t="shared" ref="AP7:AP12" si="11">(AO7-AN7)/AN7</f>
        <v>-0.19343593200766168</v>
      </c>
      <c r="AQ7" s="15">
        <v>101367</v>
      </c>
      <c r="AR7" s="15">
        <v>95882.509157509165</v>
      </c>
      <c r="AS7" s="16">
        <f t="shared" ref="AS7:AS12" si="12">(AR7-AQ7)/AQ7</f>
        <v>-5.410528912260238E-2</v>
      </c>
      <c r="AT7" s="15">
        <v>72359</v>
      </c>
      <c r="AU7" s="15">
        <v>65726.555555555562</v>
      </c>
      <c r="AV7" s="16">
        <f t="shared" ref="AV7:AV12" si="13">(AU7-AT7)/AT7</f>
        <v>-9.1660255731069229E-2</v>
      </c>
      <c r="AW7" s="15">
        <v>282758</v>
      </c>
      <c r="AX7" s="15">
        <v>107713.15353741497</v>
      </c>
      <c r="AY7" s="16">
        <f>(AX7-AW7)/AW7</f>
        <v>-0.619062401285145</v>
      </c>
      <c r="AZ7" s="15">
        <v>102338</v>
      </c>
      <c r="BA7" s="15">
        <v>90509.56804511277</v>
      </c>
      <c r="BB7" s="16">
        <f t="shared" ref="BB7:BB12" si="14">(BA7-AZ7)/AZ7</f>
        <v>-0.11558201210583781</v>
      </c>
      <c r="BC7" s="15">
        <v>147638</v>
      </c>
      <c r="BD7" s="15">
        <v>148078.68173913044</v>
      </c>
      <c r="BE7" s="16">
        <f t="shared" ref="BE7:BE12" si="15">(BD7-BC7)/BC7</f>
        <v>2.9848801740096436E-3</v>
      </c>
      <c r="BF7" s="15">
        <v>1324642</v>
      </c>
      <c r="BG7" s="15">
        <v>1427711.9933333334</v>
      </c>
      <c r="BH7" s="16">
        <f t="shared" ref="BH7:BH12" si="16">(BG7-BF7)/BF7</f>
        <v>7.7809697513240114E-2</v>
      </c>
      <c r="BI7" s="15">
        <v>107056</v>
      </c>
      <c r="BJ7" s="15">
        <v>104983.64377682403</v>
      </c>
      <c r="BK7" s="16">
        <f t="shared" ref="BK7:BK12" si="17">(BJ7-BI7)/BI7</f>
        <v>-1.9357684045508628E-2</v>
      </c>
      <c r="BL7" s="15">
        <v>94054</v>
      </c>
      <c r="BM7" s="15">
        <v>64672.56923387097</v>
      </c>
      <c r="BN7" s="16">
        <f t="shared" ref="BN7:BN12" si="18">(BM7-BL7)/BL7</f>
        <v>-0.3123889549208862</v>
      </c>
      <c r="BO7" s="15">
        <v>85602</v>
      </c>
      <c r="BP7" s="15">
        <v>65115.103203883496</v>
      </c>
      <c r="BQ7" s="16">
        <f t="shared" ref="BQ7:BQ12" si="19">(BP7-BO7)/BO7</f>
        <v>-0.239327314736998</v>
      </c>
      <c r="BR7" s="15">
        <v>101909</v>
      </c>
      <c r="BS7" s="15">
        <v>85371.49692307692</v>
      </c>
      <c r="BT7" s="16">
        <f t="shared" ref="BT7:BT12" si="20">(BS7-BR7)/BR7</f>
        <v>-0.16227715978886142</v>
      </c>
      <c r="BU7" s="15">
        <v>157313</v>
      </c>
      <c r="BV7" s="15">
        <v>154188.93421052632</v>
      </c>
      <c r="BW7" s="16">
        <f t="shared" ref="BW7:BW12" si="21">(BV7-BU7)/BU7</f>
        <v>-1.9858916869385745E-2</v>
      </c>
      <c r="BX7" s="15">
        <v>86972</v>
      </c>
      <c r="BY7" s="15">
        <v>72114.84</v>
      </c>
      <c r="BZ7" s="16">
        <f t="shared" ref="BZ7:BZ12" si="22">(BY7-BX7)/BX7</f>
        <v>-0.17082693280596059</v>
      </c>
      <c r="CA7" s="15">
        <v>107279</v>
      </c>
      <c r="CB7" s="15">
        <v>109082.09477272724</v>
      </c>
      <c r="CC7" s="18">
        <f>(CB7-CA7)/CA7</f>
        <v>1.6807527780154954E-2</v>
      </c>
    </row>
    <row r="8" spans="2:81" ht="16.5" customHeight="1" x14ac:dyDescent="0.25">
      <c r="B8" s="14" t="s">
        <v>72</v>
      </c>
      <c r="C8" s="64" t="s">
        <v>73</v>
      </c>
      <c r="D8" s="15">
        <v>62622</v>
      </c>
      <c r="E8" s="15">
        <v>93523.633333333331</v>
      </c>
      <c r="F8" s="33">
        <f t="shared" si="0"/>
        <v>0.49346289376470459</v>
      </c>
      <c r="G8" s="15">
        <v>190885</v>
      </c>
      <c r="H8" s="15">
        <v>174727.50936329589</v>
      </c>
      <c r="I8" s="33">
        <f>(H8-G8)/G8</f>
        <v>-8.4645156176253303E-2</v>
      </c>
      <c r="J8" s="15">
        <v>84323</v>
      </c>
      <c r="K8" s="15">
        <v>79080.836363636365</v>
      </c>
      <c r="L8" s="33">
        <f t="shared" si="2"/>
        <v>-6.2167660500262505E-2</v>
      </c>
      <c r="M8" s="15">
        <v>184906</v>
      </c>
      <c r="N8" s="15">
        <v>180181.89637305698</v>
      </c>
      <c r="O8" s="33">
        <f>(N8-M8)/M8</f>
        <v>-2.5548676770591645E-2</v>
      </c>
      <c r="P8" s="15">
        <v>162767</v>
      </c>
      <c r="Q8" s="15">
        <v>165422.9375</v>
      </c>
      <c r="R8" s="33">
        <f t="shared" si="4"/>
        <v>1.6317419992996123E-2</v>
      </c>
      <c r="S8" s="15">
        <v>133570</v>
      </c>
      <c r="T8" s="15">
        <v>113037.02985074627</v>
      </c>
      <c r="U8" s="33">
        <f t="shared" si="5"/>
        <v>-0.15372441528227693</v>
      </c>
      <c r="V8" s="15">
        <v>105518</v>
      </c>
      <c r="W8" s="17" t="s">
        <v>1</v>
      </c>
      <c r="X8" s="16" t="s">
        <v>1</v>
      </c>
      <c r="Y8" s="15">
        <v>86215</v>
      </c>
      <c r="Z8" s="15">
        <v>64959.761904761908</v>
      </c>
      <c r="AA8" s="33">
        <f t="shared" si="6"/>
        <v>-0.24653758737154893</v>
      </c>
      <c r="AB8" s="15">
        <v>108255</v>
      </c>
      <c r="AC8" s="15">
        <v>228698.25</v>
      </c>
      <c r="AD8" s="33">
        <f t="shared" si="7"/>
        <v>1.1125883331023971</v>
      </c>
      <c r="AE8" s="15">
        <v>980387</v>
      </c>
      <c r="AF8" s="15">
        <v>1144427.0555555555</v>
      </c>
      <c r="AG8" s="33">
        <f t="shared" si="8"/>
        <v>0.16732173677900208</v>
      </c>
      <c r="AH8" s="15">
        <v>102592</v>
      </c>
      <c r="AI8" s="15">
        <v>99846.74380165289</v>
      </c>
      <c r="AJ8" s="33">
        <f t="shared" si="9"/>
        <v>-2.6758969494181901E-2</v>
      </c>
      <c r="AK8" s="15">
        <v>114214</v>
      </c>
      <c r="AL8" s="15">
        <v>121263.25403225806</v>
      </c>
      <c r="AM8" s="33">
        <f t="shared" si="10"/>
        <v>6.1719701895197265E-2</v>
      </c>
      <c r="AN8" s="15">
        <v>192882</v>
      </c>
      <c r="AO8" s="15">
        <v>148005.95412844035</v>
      </c>
      <c r="AP8" s="33">
        <f t="shared" si="11"/>
        <v>-0.23266062085399181</v>
      </c>
      <c r="AQ8" s="15">
        <v>91802</v>
      </c>
      <c r="AR8" s="15">
        <v>82769.058608058607</v>
      </c>
      <c r="AS8" s="33">
        <f t="shared" si="12"/>
        <v>-9.8395910676688889E-2</v>
      </c>
      <c r="AT8" s="15">
        <v>74907</v>
      </c>
      <c r="AU8" s="15">
        <v>61378.753968253972</v>
      </c>
      <c r="AV8" s="33">
        <f t="shared" si="13"/>
        <v>-0.18060055844909059</v>
      </c>
      <c r="AW8" s="15">
        <v>377232</v>
      </c>
      <c r="AX8" s="15">
        <v>141417.69387755101</v>
      </c>
      <c r="AY8" s="33">
        <f>(AX8-AW8)/AW8</f>
        <v>-0.62511745059392887</v>
      </c>
      <c r="AZ8" s="15">
        <v>108450</v>
      </c>
      <c r="BA8" s="15">
        <v>83370.31578947368</v>
      </c>
      <c r="BB8" s="33">
        <f t="shared" si="14"/>
        <v>-0.2312557326927277</v>
      </c>
      <c r="BC8" s="15">
        <v>159156</v>
      </c>
      <c r="BD8" s="15">
        <v>151879.59782608695</v>
      </c>
      <c r="BE8" s="33">
        <f t="shared" si="15"/>
        <v>-4.5718679621962445E-2</v>
      </c>
      <c r="BF8" s="15">
        <v>1557967</v>
      </c>
      <c r="BG8" s="15">
        <v>1743211.6666666667</v>
      </c>
      <c r="BH8" s="33">
        <f t="shared" si="16"/>
        <v>0.11890153428581397</v>
      </c>
      <c r="BI8" s="15">
        <v>113458</v>
      </c>
      <c r="BJ8" s="15">
        <v>135205.46351931331</v>
      </c>
      <c r="BK8" s="33">
        <f t="shared" si="17"/>
        <v>0.19167853760257816</v>
      </c>
      <c r="BL8" s="15">
        <v>122559</v>
      </c>
      <c r="BM8" s="15">
        <v>110392.67338709677</v>
      </c>
      <c r="BN8" s="33">
        <f t="shared" si="18"/>
        <v>-9.9269140682473153E-2</v>
      </c>
      <c r="BO8" s="15">
        <v>108797</v>
      </c>
      <c r="BP8" s="15">
        <v>106569.39805825242</v>
      </c>
      <c r="BQ8" s="33">
        <f t="shared" si="19"/>
        <v>-2.0474847116626161E-2</v>
      </c>
      <c r="BR8" s="15">
        <v>99114</v>
      </c>
      <c r="BS8" s="15">
        <v>93276.61538461539</v>
      </c>
      <c r="BT8" s="33">
        <f t="shared" si="20"/>
        <v>-5.8895661716655667E-2</v>
      </c>
      <c r="BU8" s="15">
        <v>181995</v>
      </c>
      <c r="BV8" s="15">
        <v>177409.72368421053</v>
      </c>
      <c r="BW8" s="33">
        <f t="shared" si="21"/>
        <v>-2.5194518068020914E-2</v>
      </c>
      <c r="BX8" s="15">
        <v>95389</v>
      </c>
      <c r="BY8" s="15">
        <v>76578.880000000005</v>
      </c>
      <c r="BZ8" s="33">
        <f>(BY8-BX8)/BX8</f>
        <v>-0.19719380641373738</v>
      </c>
      <c r="CA8" s="15">
        <v>126798</v>
      </c>
      <c r="CB8" s="15">
        <v>123073.94318181818</v>
      </c>
      <c r="CC8" s="34">
        <f>(CB8-CA8)/CA8</f>
        <v>-2.9369996515574565E-2</v>
      </c>
    </row>
    <row r="9" spans="2:81" ht="15" customHeight="1" x14ac:dyDescent="0.25">
      <c r="B9" s="14" t="s">
        <v>74</v>
      </c>
      <c r="C9" s="64" t="s">
        <v>75</v>
      </c>
      <c r="D9" s="19">
        <v>158</v>
      </c>
      <c r="E9" s="20">
        <v>77.588888888888889</v>
      </c>
      <c r="F9" s="16">
        <f t="shared" si="0"/>
        <v>-0.50893108298171585</v>
      </c>
      <c r="G9" s="20">
        <v>12719</v>
      </c>
      <c r="H9" s="20">
        <v>3164.8913857677903</v>
      </c>
      <c r="I9" s="16">
        <f t="shared" si="1"/>
        <v>-0.7511682218910456</v>
      </c>
      <c r="J9" s="19">
        <v>594</v>
      </c>
      <c r="K9" s="20">
        <v>776.4</v>
      </c>
      <c r="L9" s="16">
        <f t="shared" si="2"/>
        <v>0.30707070707070705</v>
      </c>
      <c r="M9" s="20">
        <v>5993</v>
      </c>
      <c r="N9" s="20">
        <v>5091.3471502590673</v>
      </c>
      <c r="O9" s="16">
        <f t="shared" si="3"/>
        <v>-0.15045100112480103</v>
      </c>
      <c r="P9" s="20">
        <v>9487</v>
      </c>
      <c r="Q9" s="20">
        <v>9174.3080357142862</v>
      </c>
      <c r="R9" s="16">
        <f t="shared" si="4"/>
        <v>-3.2960046831001767E-2</v>
      </c>
      <c r="S9" s="20">
        <v>5397</v>
      </c>
      <c r="T9" s="20">
        <v>2726.2039800995026</v>
      </c>
      <c r="U9" s="16">
        <f t="shared" si="5"/>
        <v>-0.49486678152686631</v>
      </c>
      <c r="V9" s="20">
        <v>-5555</v>
      </c>
      <c r="W9" s="17" t="s">
        <v>1</v>
      </c>
      <c r="X9" s="16" t="s">
        <v>1</v>
      </c>
      <c r="Y9" s="19">
        <v>662</v>
      </c>
      <c r="Z9" s="20">
        <v>378.51700680272108</v>
      </c>
      <c r="AA9" s="16">
        <f t="shared" si="6"/>
        <v>-0.42822204410465092</v>
      </c>
      <c r="AB9" s="20">
        <v>-76217</v>
      </c>
      <c r="AC9" s="20">
        <v>-649085.5</v>
      </c>
      <c r="AD9" s="16" t="s">
        <v>1</v>
      </c>
      <c r="AE9" s="20">
        <v>66014</v>
      </c>
      <c r="AF9" s="20">
        <v>90532.111111111109</v>
      </c>
      <c r="AG9" s="16">
        <f t="shared" si="8"/>
        <v>0.37140774852472369</v>
      </c>
      <c r="AH9" s="20">
        <v>2910</v>
      </c>
      <c r="AI9" s="20">
        <v>3145.1033057851241</v>
      </c>
      <c r="AJ9" s="16">
        <f t="shared" si="9"/>
        <v>8.0791514015506577E-2</v>
      </c>
      <c r="AK9" s="20">
        <v>12713</v>
      </c>
      <c r="AL9" s="20">
        <v>8556.9233870967746</v>
      </c>
      <c r="AM9" s="16">
        <f t="shared" si="10"/>
        <v>-0.32691548909802765</v>
      </c>
      <c r="AN9" s="20">
        <v>3578</v>
      </c>
      <c r="AO9" s="20">
        <v>2468.7935779816512</v>
      </c>
      <c r="AP9" s="16">
        <f t="shared" si="11"/>
        <v>-0.31000738457751503</v>
      </c>
      <c r="AQ9" s="20">
        <v>3374</v>
      </c>
      <c r="AR9" s="20">
        <v>2124.934065934066</v>
      </c>
      <c r="AS9" s="16">
        <f t="shared" si="12"/>
        <v>-0.37020329996026496</v>
      </c>
      <c r="AT9" s="20">
        <v>3425</v>
      </c>
      <c r="AU9" s="20">
        <v>298.16666666666669</v>
      </c>
      <c r="AV9" s="16">
        <f t="shared" si="13"/>
        <v>-0.91294403892944043</v>
      </c>
      <c r="AW9" s="15">
        <v>8937</v>
      </c>
      <c r="AX9" s="15">
        <v>-21276</v>
      </c>
      <c r="AY9" s="16" t="s">
        <v>1</v>
      </c>
      <c r="AZ9" s="15">
        <v>27573</v>
      </c>
      <c r="BA9" s="15">
        <v>25143.78947368421</v>
      </c>
      <c r="BB9" s="16">
        <f t="shared" si="14"/>
        <v>-8.810105996140391E-2</v>
      </c>
      <c r="BC9" s="15">
        <v>17931</v>
      </c>
      <c r="BD9" s="15">
        <v>24824.42391304348</v>
      </c>
      <c r="BE9" s="16">
        <f t="shared" si="15"/>
        <v>0.38444168830759468</v>
      </c>
      <c r="BF9" s="15">
        <v>182608</v>
      </c>
      <c r="BG9" s="15">
        <v>188596.33333333334</v>
      </c>
      <c r="BH9" s="16">
        <f t="shared" si="16"/>
        <v>3.2793378895411715E-2</v>
      </c>
      <c r="BI9" s="15">
        <v>1512</v>
      </c>
      <c r="BJ9" s="15">
        <v>16074.274678111587</v>
      </c>
      <c r="BK9" s="16">
        <f t="shared" si="17"/>
        <v>9.6311340463700983</v>
      </c>
      <c r="BL9" s="15">
        <v>-15725</v>
      </c>
      <c r="BM9" s="15">
        <v>1761.8306451612902</v>
      </c>
      <c r="BN9" s="16" t="s">
        <v>1</v>
      </c>
      <c r="BO9" s="21">
        <v>122</v>
      </c>
      <c r="BP9" s="15">
        <v>311.92233009708735</v>
      </c>
      <c r="BQ9" s="16">
        <f t="shared" si="19"/>
        <v>1.5567404106318636</v>
      </c>
      <c r="BR9" s="15">
        <v>6441</v>
      </c>
      <c r="BS9" s="15">
        <v>15822.307692307691</v>
      </c>
      <c r="BT9" s="16">
        <f>(BS9-BR9)/BR9</f>
        <v>1.4564986325582505</v>
      </c>
      <c r="BU9" s="15">
        <v>70108</v>
      </c>
      <c r="BV9" s="15">
        <v>77502.210526315786</v>
      </c>
      <c r="BW9" s="16">
        <f t="shared" si="21"/>
        <v>0.10546885557020293</v>
      </c>
      <c r="BX9" s="15">
        <v>3058</v>
      </c>
      <c r="BY9" s="15">
        <v>470.92</v>
      </c>
      <c r="BZ9" s="16">
        <f t="shared" si="22"/>
        <v>-0.84600392413342052</v>
      </c>
      <c r="CA9" s="15">
        <v>-57205</v>
      </c>
      <c r="CB9" s="15">
        <v>301.90909090909093</v>
      </c>
      <c r="CC9" s="18">
        <f t="shared" ref="CC9:CC11" si="23">(CB9-CA9)/CA9</f>
        <v>-1.0052776696251917</v>
      </c>
    </row>
    <row r="10" spans="2:81" ht="15" customHeight="1" x14ac:dyDescent="0.25">
      <c r="B10" s="14" t="s">
        <v>76</v>
      </c>
      <c r="C10" s="64" t="s">
        <v>77</v>
      </c>
      <c r="D10" s="22">
        <f>0.34/100</f>
        <v>3.4000000000000002E-3</v>
      </c>
      <c r="E10" s="23">
        <f>0.13872022595723/100</f>
        <v>1.3872022595723E-3</v>
      </c>
      <c r="F10" s="16">
        <f t="shared" si="0"/>
        <v>-0.59199933541991179</v>
      </c>
      <c r="G10" s="24">
        <f>14.22/100</f>
        <v>0.14219999999999999</v>
      </c>
      <c r="H10" s="25">
        <f>4.40533737381573/100</f>
        <v>4.4053373738157299E-2</v>
      </c>
      <c r="I10" s="16">
        <f t="shared" si="1"/>
        <v>-0.6902013098582469</v>
      </c>
      <c r="J10" s="24">
        <f>1.07/100</f>
        <v>1.0700000000000001E-2</v>
      </c>
      <c r="K10" s="25">
        <f>1.27491795525875/100</f>
        <v>1.2749179552587499E-2</v>
      </c>
      <c r="L10" s="16">
        <f t="shared" si="2"/>
        <v>0.19151210771845775</v>
      </c>
      <c r="M10" s="24">
        <f>6.22/100</f>
        <v>6.2199999999999998E-2</v>
      </c>
      <c r="N10" s="25">
        <f>6.20528875782639/100</f>
        <v>6.2052887578263896E-2</v>
      </c>
      <c r="O10" s="16">
        <f t="shared" si="3"/>
        <v>-2.3651514748569491E-3</v>
      </c>
      <c r="P10" s="24">
        <f>15.18/100</f>
        <v>0.15179999999999999</v>
      </c>
      <c r="Q10" s="25">
        <f>14.9563491586965/100</f>
        <v>0.149563491586965</v>
      </c>
      <c r="R10" s="16">
        <f t="shared" si="4"/>
        <v>-1.4733257002865568E-2</v>
      </c>
      <c r="S10" s="24">
        <f>6.05/100</f>
        <v>6.0499999999999998E-2</v>
      </c>
      <c r="T10" s="25">
        <f>3.61879055245948/100</f>
        <v>3.6187905524594804E-2</v>
      </c>
      <c r="U10" s="16">
        <f t="shared" si="5"/>
        <v>-0.40185280124636685</v>
      </c>
      <c r="V10" s="24">
        <f>-5.85/100</f>
        <v>-5.8499999999999996E-2</v>
      </c>
      <c r="W10" s="16" t="s">
        <v>1</v>
      </c>
      <c r="X10" s="16" t="s">
        <v>1</v>
      </c>
      <c r="Y10" s="24">
        <f>1.85/100</f>
        <v>1.8500000000000003E-2</v>
      </c>
      <c r="Z10" s="25">
        <f>1.03364194102211/100</f>
        <v>1.03364194102211E-2</v>
      </c>
      <c r="AA10" s="16">
        <f t="shared" si="6"/>
        <v>-0.44127462647453525</v>
      </c>
      <c r="AB10" s="24">
        <f>-17.76/100</f>
        <v>-0.17760000000000001</v>
      </c>
      <c r="AC10" s="25">
        <f>-637.70407649476/100</f>
        <v>-6.3770407649475995</v>
      </c>
      <c r="AD10" s="16" t="s">
        <v>1</v>
      </c>
      <c r="AE10" s="24">
        <f>15.3/100</f>
        <v>0.153</v>
      </c>
      <c r="AF10" s="25">
        <f>16.9088825543134/100</f>
        <v>0.16908882554313401</v>
      </c>
      <c r="AG10" s="16">
        <f t="shared" si="8"/>
        <v>0.10515572250414386</v>
      </c>
      <c r="AH10" s="24">
        <f>3.8/100</f>
        <v>3.7999999999999999E-2</v>
      </c>
      <c r="AI10" s="25">
        <f>5.47461695429778/100</f>
        <v>5.4746169542977799E-2</v>
      </c>
      <c r="AJ10" s="16">
        <f t="shared" si="9"/>
        <v>0.44068867218362634</v>
      </c>
      <c r="AK10" s="24">
        <f>10.27/100</f>
        <v>0.1027</v>
      </c>
      <c r="AL10" s="25">
        <f>6.1684215274995/100</f>
        <v>6.1684215274994993E-2</v>
      </c>
      <c r="AM10" s="16">
        <f t="shared" si="10"/>
        <v>-0.3993747295521422</v>
      </c>
      <c r="AN10" s="24">
        <f>4.71/100</f>
        <v>4.7100000000000003E-2</v>
      </c>
      <c r="AO10" s="25">
        <f>4.28230186067928/100</f>
        <v>4.2823018606792801E-2</v>
      </c>
      <c r="AP10" s="16">
        <f t="shared" si="11"/>
        <v>-9.0806399006522334E-2</v>
      </c>
      <c r="AQ10" s="24">
        <f>9.14/100</f>
        <v>9.1400000000000009E-2</v>
      </c>
      <c r="AR10" s="25">
        <f>6.48541124289098/100</f>
        <v>6.4854112428909802E-2</v>
      </c>
      <c r="AS10" s="16">
        <f t="shared" si="12"/>
        <v>-0.29043640668588844</v>
      </c>
      <c r="AT10" s="24">
        <f>4.8/100</f>
        <v>4.8000000000000001E-2</v>
      </c>
      <c r="AU10" s="25">
        <f>0.564782774583888/100</f>
        <v>5.6478277458388805E-3</v>
      </c>
      <c r="AV10" s="16">
        <f t="shared" si="13"/>
        <v>-0.88233692196169</v>
      </c>
      <c r="AW10" s="24">
        <f>2.92/100</f>
        <v>2.92E-2</v>
      </c>
      <c r="AX10" s="25">
        <f>-17.02/100</f>
        <v>-0.17019999999999999</v>
      </c>
      <c r="AY10" s="16" t="s">
        <v>1</v>
      </c>
      <c r="AZ10" s="24">
        <f>31.27/100</f>
        <v>0.31269999999999998</v>
      </c>
      <c r="BA10" s="25">
        <f>38.9002207947704/100</f>
        <v>0.38900220794770396</v>
      </c>
      <c r="BB10" s="16">
        <f t="shared" si="14"/>
        <v>0.24401089845763987</v>
      </c>
      <c r="BC10" s="24">
        <f>16.06/100</f>
        <v>0.16059999999999999</v>
      </c>
      <c r="BD10" s="25">
        <f>26.4889061575755/100</f>
        <v>0.26488906157575498</v>
      </c>
      <c r="BE10" s="16">
        <f t="shared" si="15"/>
        <v>0.6493714917543898</v>
      </c>
      <c r="BF10" s="24">
        <f>13.8/100</f>
        <v>0.13800000000000001</v>
      </c>
      <c r="BG10" s="25">
        <f>12.9/100</f>
        <v>0.129</v>
      </c>
      <c r="BH10" s="16">
        <f t="shared" si="16"/>
        <v>-6.521739130434788E-2</v>
      </c>
      <c r="BI10" s="24">
        <f>2.86/100</f>
        <v>2.86E-2</v>
      </c>
      <c r="BJ10" s="25">
        <f>32.4626963020079/100</f>
        <v>0.32462696302007898</v>
      </c>
      <c r="BK10" s="16">
        <f>(BJ10-BI10)/BI10</f>
        <v>10.350593112590174</v>
      </c>
      <c r="BL10" s="24">
        <f>-68.39/100</f>
        <v>-0.68389999999999995</v>
      </c>
      <c r="BM10" s="25">
        <f>3.54273980126687/100</f>
        <v>3.5427398012668698E-2</v>
      </c>
      <c r="BN10" s="16" t="s">
        <v>1</v>
      </c>
      <c r="BO10" s="24">
        <f>0.12/100</f>
        <v>1.1999999999999999E-3</v>
      </c>
      <c r="BP10" s="25">
        <f>0.504366503395384/100</f>
        <v>5.0436650339538399E-3</v>
      </c>
      <c r="BQ10" s="16">
        <f t="shared" si="19"/>
        <v>3.2030541949615339</v>
      </c>
      <c r="BR10" s="24">
        <f>1.81/100</f>
        <v>1.8100000000000002E-2</v>
      </c>
      <c r="BS10" s="25">
        <f>7.18446710457837/100</f>
        <v>7.1844671045783695E-2</v>
      </c>
      <c r="BT10" s="16">
        <f t="shared" si="20"/>
        <v>2.9693188423084909</v>
      </c>
      <c r="BU10" s="24">
        <f>39.1/100</f>
        <v>0.39100000000000001</v>
      </c>
      <c r="BV10" s="25">
        <f>40.0288471314067/100</f>
        <v>0.40028847131406697</v>
      </c>
      <c r="BW10" s="16">
        <f t="shared" si="21"/>
        <v>2.3755681110145675E-2</v>
      </c>
      <c r="BX10" s="24">
        <f>3/100</f>
        <v>0.03</v>
      </c>
      <c r="BY10" s="25">
        <f>0.290412991794038/100</f>
        <v>2.90412991794038E-3</v>
      </c>
      <c r="BZ10" s="16">
        <f t="shared" si="22"/>
        <v>-0.90319566940198726</v>
      </c>
      <c r="CA10" s="24">
        <f>-672.08/100</f>
        <v>-6.7208000000000006</v>
      </c>
      <c r="CB10" s="25">
        <f>0.477924245912963/100</f>
        <v>4.7792424591296297E-3</v>
      </c>
      <c r="CC10" s="18">
        <f t="shared" si="23"/>
        <v>-1.0007111121383063</v>
      </c>
    </row>
    <row r="11" spans="2:81" ht="15" customHeight="1" x14ac:dyDescent="0.25">
      <c r="B11" s="14" t="s">
        <v>78</v>
      </c>
      <c r="C11" s="64" t="s">
        <v>79</v>
      </c>
      <c r="D11" s="22">
        <f>0.25/100</f>
        <v>2.5000000000000001E-3</v>
      </c>
      <c r="E11" s="23">
        <f>0.08296179919823/100</f>
        <v>8.2961799198230006E-4</v>
      </c>
      <c r="F11" s="16">
        <f t="shared" si="0"/>
        <v>-0.66815280320707993</v>
      </c>
      <c r="G11" s="22">
        <f>6.66/100</f>
        <v>6.6600000000000006E-2</v>
      </c>
      <c r="H11" s="23">
        <f>1.81132976558792/100</f>
        <v>1.8113297655879199E-2</v>
      </c>
      <c r="I11" s="16">
        <f t="shared" si="1"/>
        <v>-0.72802856372553759</v>
      </c>
      <c r="J11" s="22">
        <f>0.7/100</f>
        <v>6.9999999999999993E-3</v>
      </c>
      <c r="K11" s="23">
        <f>0.98178020832998/100</f>
        <v>9.8178020832997998E-3</v>
      </c>
      <c r="L11" s="16">
        <f t="shared" si="2"/>
        <v>0.40254315475711439</v>
      </c>
      <c r="M11" s="22">
        <f>3.24/100</f>
        <v>3.2400000000000005E-2</v>
      </c>
      <c r="N11" s="23">
        <f>2.82567075424587/100</f>
        <v>2.8256707542458698E-2</v>
      </c>
      <c r="O11" s="16">
        <f t="shared" si="3"/>
        <v>-0.12787939683769464</v>
      </c>
      <c r="P11" s="22">
        <f>5.83/100</f>
        <v>5.8299999999999998E-2</v>
      </c>
      <c r="Q11" s="23">
        <f>5.5459709362943/100</f>
        <v>5.5459709362943005E-2</v>
      </c>
      <c r="R11" s="16">
        <f t="shared" si="4"/>
        <v>-4.8718535798576205E-2</v>
      </c>
      <c r="S11" s="22">
        <f>4.04/100</f>
        <v>4.0399999999999998E-2</v>
      </c>
      <c r="T11" s="23">
        <f>2.41177955905173/100</f>
        <v>2.4117795590517299E-2</v>
      </c>
      <c r="U11" s="16">
        <f t="shared" si="5"/>
        <v>-0.40302486162085893</v>
      </c>
      <c r="V11" s="22">
        <f>-5.26/100</f>
        <v>-5.2600000000000001E-2</v>
      </c>
      <c r="W11" s="16" t="s">
        <v>1</v>
      </c>
      <c r="X11" s="16" t="s">
        <v>1</v>
      </c>
      <c r="Y11" s="22">
        <f>0.77/100</f>
        <v>7.7000000000000002E-3</v>
      </c>
      <c r="Z11" s="23">
        <f>0.58269457230719/100</f>
        <v>5.8269457230719001E-3</v>
      </c>
      <c r="AA11" s="16">
        <f t="shared" si="6"/>
        <v>-0.24325380219845455</v>
      </c>
      <c r="AB11" s="22">
        <f>-70.4/100</f>
        <v>-0.70400000000000007</v>
      </c>
      <c r="AC11" s="23">
        <f>-283.817431921757/100</f>
        <v>-2.8381743192175701</v>
      </c>
      <c r="AD11" s="16" t="s">
        <v>1</v>
      </c>
      <c r="AE11" s="22">
        <f>6.73/100</f>
        <v>6.7299999999999999E-2</v>
      </c>
      <c r="AF11" s="23">
        <f>7.91069301198606/100</f>
        <v>7.91069301198606E-2</v>
      </c>
      <c r="AG11" s="16">
        <f t="shared" si="8"/>
        <v>0.17543729747192571</v>
      </c>
      <c r="AH11" s="22">
        <f>2.84/100</f>
        <v>2.8399999999999998E-2</v>
      </c>
      <c r="AI11" s="23">
        <f>3.14993076993369/100</f>
        <v>3.1499307699336898E-2</v>
      </c>
      <c r="AJ11" s="16">
        <f t="shared" si="9"/>
        <v>0.10913055279355283</v>
      </c>
      <c r="AK11" s="22">
        <f>11.13/100</f>
        <v>0.11130000000000001</v>
      </c>
      <c r="AL11" s="23">
        <f>7.05648504601442/100</f>
        <v>7.0564850460144199E-2</v>
      </c>
      <c r="AM11" s="16">
        <f t="shared" si="10"/>
        <v>-0.36599415579385269</v>
      </c>
      <c r="AN11" s="22">
        <f>1.86/100</f>
        <v>1.8600000000000002E-2</v>
      </c>
      <c r="AO11" s="23">
        <f>1.66803666279481/100</f>
        <v>1.6680366627948098E-2</v>
      </c>
      <c r="AP11" s="16">
        <f t="shared" si="11"/>
        <v>-0.10320609527160771</v>
      </c>
      <c r="AQ11" s="22">
        <f>3.67/100</f>
        <v>3.6699999999999997E-2</v>
      </c>
      <c r="AR11" s="23">
        <f>2.56730486206977/100</f>
        <v>2.5673048620697698E-2</v>
      </c>
      <c r="AS11" s="16">
        <f t="shared" si="12"/>
        <v>-0.30046189044420435</v>
      </c>
      <c r="AT11" s="22">
        <f>4.57/100</f>
        <v>4.5700000000000005E-2</v>
      </c>
      <c r="AU11" s="23">
        <f>0.485781556955169/100</f>
        <v>4.8578155695516902E-3</v>
      </c>
      <c r="AV11" s="16">
        <f t="shared" si="13"/>
        <v>-0.89370206631177918</v>
      </c>
      <c r="AW11" s="24">
        <f>2.37/100</f>
        <v>2.3700000000000002E-2</v>
      </c>
      <c r="AX11" s="25">
        <f>-15.04/100</f>
        <v>-0.15039999999999998</v>
      </c>
      <c r="AY11" s="16" t="s">
        <v>1</v>
      </c>
      <c r="AZ11" s="24">
        <f>25.42/100</f>
        <v>0.25420000000000004</v>
      </c>
      <c r="BA11" s="25">
        <f>30.16/100</f>
        <v>0.30159999999999998</v>
      </c>
      <c r="BB11" s="16">
        <f t="shared" si="14"/>
        <v>0.18646734854445293</v>
      </c>
      <c r="BC11" s="24">
        <f>11.27/100</f>
        <v>0.11269999999999999</v>
      </c>
      <c r="BD11" s="25">
        <f>16.34/100</f>
        <v>0.16339999999999999</v>
      </c>
      <c r="BE11" s="16">
        <f t="shared" si="15"/>
        <v>0.44986690328305234</v>
      </c>
      <c r="BF11" s="24">
        <f>11.72/100</f>
        <v>0.11720000000000001</v>
      </c>
      <c r="BG11" s="25">
        <f>10.82/100</f>
        <v>0.1082</v>
      </c>
      <c r="BH11" s="16">
        <f t="shared" si="16"/>
        <v>-7.6791808873720196E-2</v>
      </c>
      <c r="BI11" s="24">
        <f>1.33/100</f>
        <v>1.3300000000000001E-2</v>
      </c>
      <c r="BJ11" s="25">
        <f>11.89/100</f>
        <v>0.11890000000000001</v>
      </c>
      <c r="BK11" s="16">
        <f t="shared" si="17"/>
        <v>7.9398496240601499</v>
      </c>
      <c r="BL11" s="24">
        <f>-12.83/100</f>
        <v>-0.1283</v>
      </c>
      <c r="BM11" s="25">
        <f>1.6/100</f>
        <v>1.6E-2</v>
      </c>
      <c r="BN11" s="16" t="s">
        <v>1</v>
      </c>
      <c r="BO11" s="24">
        <f>0.11/100</f>
        <v>1.1000000000000001E-3</v>
      </c>
      <c r="BP11" s="25">
        <f>0.292694090217706/100</f>
        <v>2.9269409021770599E-3</v>
      </c>
      <c r="BQ11" s="16">
        <f t="shared" si="19"/>
        <v>1.6608553656155087</v>
      </c>
      <c r="BR11" s="24">
        <f>6.5/100</f>
        <v>6.5000000000000002E-2</v>
      </c>
      <c r="BS11" s="25">
        <f>16.9627806788081/100</f>
        <v>0.16962780678808101</v>
      </c>
      <c r="BT11" s="16">
        <f t="shared" si="20"/>
        <v>1.609658565970477</v>
      </c>
      <c r="BU11" s="24">
        <f>38.52/100</f>
        <v>0.38520000000000004</v>
      </c>
      <c r="BV11" s="25">
        <f>43.6854355651158/100</f>
        <v>0.43685435565115804</v>
      </c>
      <c r="BW11" s="16">
        <f t="shared" si="21"/>
        <v>0.13409749649833333</v>
      </c>
      <c r="BX11" s="24">
        <f>3.21/100</f>
        <v>3.2099999999999997E-2</v>
      </c>
      <c r="BY11" s="25">
        <f>0.614947620022649/100</f>
        <v>6.14947620022649E-3</v>
      </c>
      <c r="BZ11" s="16">
        <f t="shared" si="22"/>
        <v>-0.80842753270322465</v>
      </c>
      <c r="CA11" s="24">
        <f>-45.12/100</f>
        <v>-0.45119999999999999</v>
      </c>
      <c r="CB11" s="25">
        <f>0.25/100</f>
        <v>2.5000000000000001E-3</v>
      </c>
      <c r="CC11" s="18">
        <f t="shared" si="23"/>
        <v>-1.0055407801418439</v>
      </c>
    </row>
    <row r="12" spans="2:81" ht="15" customHeight="1" thickBot="1" x14ac:dyDescent="0.3">
      <c r="B12" s="26" t="s">
        <v>80</v>
      </c>
      <c r="C12" s="66" t="s">
        <v>81</v>
      </c>
      <c r="D12" s="27">
        <f>34.37/100</f>
        <v>0.34369999999999995</v>
      </c>
      <c r="E12" s="28">
        <f>44.4544328439686/100</f>
        <v>0.44454432843968594</v>
      </c>
      <c r="F12" s="29">
        <f t="shared" si="0"/>
        <v>0.29340799662405004</v>
      </c>
      <c r="G12" s="27">
        <f>47.93/100</f>
        <v>0.4793</v>
      </c>
      <c r="H12" s="28">
        <f>47.9843824979897/100</f>
        <v>0.47984382497989697</v>
      </c>
      <c r="I12" s="29">
        <f t="shared" si="1"/>
        <v>1.1346233671958427E-3</v>
      </c>
      <c r="J12" s="27">
        <f>48.88/100</f>
        <v>0.48880000000000001</v>
      </c>
      <c r="K12" s="28">
        <f>46.2019258777395/100</f>
        <v>0.46201925877739497</v>
      </c>
      <c r="L12" s="29">
        <f t="shared" si="2"/>
        <v>-5.4788750455411296E-2</v>
      </c>
      <c r="M12" s="27">
        <f>55.29/100</f>
        <v>0.55289999999999995</v>
      </c>
      <c r="N12" s="28">
        <f>61.8477569345444/100</f>
        <v>0.61847756934544396</v>
      </c>
      <c r="O12" s="29">
        <f t="shared" si="3"/>
        <v>0.11860656419866887</v>
      </c>
      <c r="P12" s="27">
        <f>40.84/100</f>
        <v>0.40840000000000004</v>
      </c>
      <c r="Q12" s="28">
        <f>46.1643222755408/100</f>
        <v>0.46164322275540798</v>
      </c>
      <c r="R12" s="29">
        <f t="shared" si="4"/>
        <v>0.13037028098777653</v>
      </c>
      <c r="S12" s="27">
        <f>26.22/100</f>
        <v>0.26219999999999999</v>
      </c>
      <c r="T12" s="28">
        <f>33.5631674329608/100</f>
        <v>0.33563167432960805</v>
      </c>
      <c r="U12" s="29">
        <f t="shared" si="5"/>
        <v>0.28005978005189958</v>
      </c>
      <c r="V12" s="27">
        <f>41.56/100</f>
        <v>0.41560000000000002</v>
      </c>
      <c r="W12" s="27" t="s">
        <v>1</v>
      </c>
      <c r="X12" s="29" t="s">
        <v>1</v>
      </c>
      <c r="Y12" s="27">
        <f>56.85/100</f>
        <v>0.56850000000000001</v>
      </c>
      <c r="Z12" s="28">
        <f>51.6152803854181/100</f>
        <v>0.51615280385418105</v>
      </c>
      <c r="AA12" s="29">
        <f t="shared" si="6"/>
        <v>-9.2079500696251454E-2</v>
      </c>
      <c r="AB12" s="27">
        <f>7.8/100</f>
        <v>7.8E-2</v>
      </c>
      <c r="AC12" s="28">
        <f>3.62656965069768/100</f>
        <v>3.6265696506976801E-2</v>
      </c>
      <c r="AD12" s="29">
        <f t="shared" si="7"/>
        <v>-0.53505517298747696</v>
      </c>
      <c r="AE12" s="27">
        <f>7.21/100</f>
        <v>7.2099999999999997E-2</v>
      </c>
      <c r="AF12" s="28">
        <f>6.68415245999469/100</f>
        <v>6.6841524599946911E-2</v>
      </c>
      <c r="AG12" s="29">
        <f t="shared" si="8"/>
        <v>-7.2933084605451962E-2</v>
      </c>
      <c r="AH12" s="27">
        <f>54.98/100</f>
        <v>0.54979999999999996</v>
      </c>
      <c r="AI12" s="28">
        <f>50.3576108090209/100</f>
        <v>0.50357610809020903</v>
      </c>
      <c r="AJ12" s="29">
        <f t="shared" si="9"/>
        <v>-8.4074012204057719E-2</v>
      </c>
      <c r="AK12" s="27">
        <f>43.12/100</f>
        <v>0.43119999999999997</v>
      </c>
      <c r="AL12" s="28">
        <f>40.7916009155355/100</f>
        <v>0.40791600915535497</v>
      </c>
      <c r="AM12" s="29">
        <f t="shared" si="10"/>
        <v>-5.3998123480160018E-2</v>
      </c>
      <c r="AN12" s="27">
        <f>29.5/100</f>
        <v>0.29499999999999998</v>
      </c>
      <c r="AO12" s="28">
        <f>25.4218315918535/100</f>
        <v>0.254218315918535</v>
      </c>
      <c r="AP12" s="29">
        <f t="shared" si="11"/>
        <v>-0.13824299688632199</v>
      </c>
      <c r="AQ12" s="27">
        <f>47.96/100</f>
        <v>0.47960000000000003</v>
      </c>
      <c r="AR12" s="28">
        <f>44.990719525671/100</f>
        <v>0.44990719525670997</v>
      </c>
      <c r="AS12" s="29">
        <f t="shared" si="12"/>
        <v>-6.191160288425783E-2</v>
      </c>
      <c r="AT12" s="27">
        <f>48.07/100</f>
        <v>0.48070000000000002</v>
      </c>
      <c r="AU12" s="28">
        <f>38.3323717576404/100</f>
        <v>0.38332371757640404</v>
      </c>
      <c r="AV12" s="29">
        <f t="shared" si="13"/>
        <v>-0.20257183778572077</v>
      </c>
      <c r="AW12" s="31">
        <f>38.62/100</f>
        <v>0.38619999999999999</v>
      </c>
      <c r="AX12" s="30">
        <f>44.7631623047305/100</f>
        <v>0.44763162304730497</v>
      </c>
      <c r="AY12" s="29">
        <f>(AX12-AW12)/AW12</f>
        <v>0.15906686444149401</v>
      </c>
      <c r="AZ12" s="31">
        <f>35.7/100</f>
        <v>0.35700000000000004</v>
      </c>
      <c r="BA12" s="30">
        <f>31.9029457821082/100</f>
        <v>0.319029457821082</v>
      </c>
      <c r="BB12" s="29">
        <f t="shared" si="14"/>
        <v>-0.10636006212582083</v>
      </c>
      <c r="BC12" s="31">
        <f>41.14/100</f>
        <v>0.41139999999999999</v>
      </c>
      <c r="BD12" s="30">
        <f>33.5362849018622/100</f>
        <v>0.33536284901862201</v>
      </c>
      <c r="BE12" s="29">
        <f t="shared" si="15"/>
        <v>-0.18482535484049095</v>
      </c>
      <c r="BF12" s="31">
        <f>11.68/100</f>
        <v>0.1168</v>
      </c>
      <c r="BG12" s="30">
        <f>16.9530579554469/100</f>
        <v>0.16953057955446901</v>
      </c>
      <c r="BH12" s="29">
        <f t="shared" si="16"/>
        <v>0.45146044139100183</v>
      </c>
      <c r="BI12" s="31">
        <f>28.71/100</f>
        <v>0.28710000000000002</v>
      </c>
      <c r="BJ12" s="30">
        <f>34.1298902927409/100</f>
        <v>0.34129890292740905</v>
      </c>
      <c r="BK12" s="29">
        <f t="shared" si="17"/>
        <v>0.18878057445980156</v>
      </c>
      <c r="BL12" s="31">
        <f>34.94/100</f>
        <v>0.34939999999999999</v>
      </c>
      <c r="BM12" s="30">
        <f>41.0833028197712/100</f>
        <v>0.410833028197712</v>
      </c>
      <c r="BN12" s="29">
        <f t="shared" si="18"/>
        <v>0.17582435088068693</v>
      </c>
      <c r="BO12" s="31">
        <f>38.23/100</f>
        <v>0.38229999999999997</v>
      </c>
      <c r="BP12" s="30">
        <f>51.0860104796978/100</f>
        <v>0.51086010479697797</v>
      </c>
      <c r="BQ12" s="29">
        <f t="shared" si="19"/>
        <v>0.33628068217885954</v>
      </c>
      <c r="BR12" s="31">
        <f>19.89/100</f>
        <v>0.19889999999999999</v>
      </c>
      <c r="BS12" s="30">
        <f>20.5250453524634/100</f>
        <v>0.205250453524634</v>
      </c>
      <c r="BT12" s="29">
        <f t="shared" si="20"/>
        <v>3.1927870913192602E-2</v>
      </c>
      <c r="BU12" s="31">
        <f>32.72/100</f>
        <v>0.32719999999999999</v>
      </c>
      <c r="BV12" s="30">
        <f>30.1199169610694/100</f>
        <v>0.30119916961069398</v>
      </c>
      <c r="BW12" s="29">
        <f t="shared" si="21"/>
        <v>-7.9464640554113716E-2</v>
      </c>
      <c r="BX12" s="31">
        <f>21.6/100</f>
        <v>0.21600000000000003</v>
      </c>
      <c r="BY12" s="30">
        <f>15.6447688159608/100</f>
        <v>0.15644768815960799</v>
      </c>
      <c r="BZ12" s="29">
        <f t="shared" si="22"/>
        <v>-0.27570514740922231</v>
      </c>
      <c r="CA12" s="31">
        <f>40.59/100</f>
        <v>0.40590000000000004</v>
      </c>
      <c r="CB12" s="30">
        <f>34.2100058680366/100</f>
        <v>0.34210005868036603</v>
      </c>
      <c r="CC12" s="32">
        <f>(CB12-CA12)/CA12</f>
        <v>-0.15718142724718898</v>
      </c>
    </row>
  </sheetData>
  <mergeCells count="31">
    <mergeCell ref="D5:F5"/>
    <mergeCell ref="BO5:BQ5"/>
    <mergeCell ref="AW5:AY5"/>
    <mergeCell ref="G5:I5"/>
    <mergeCell ref="P5:R5"/>
    <mergeCell ref="AZ5:BB5"/>
    <mergeCell ref="AK5:AM5"/>
    <mergeCell ref="AE5:AG5"/>
    <mergeCell ref="S5:U5"/>
    <mergeCell ref="AH5:AJ5"/>
    <mergeCell ref="B2:CC2"/>
    <mergeCell ref="Y5:AA5"/>
    <mergeCell ref="AB5:AD5"/>
    <mergeCell ref="J5:L5"/>
    <mergeCell ref="V5:X5"/>
    <mergeCell ref="B4:B6"/>
    <mergeCell ref="C4:C6"/>
    <mergeCell ref="D4:AV4"/>
    <mergeCell ref="AW4:CC4"/>
    <mergeCell ref="CA5:CC5"/>
    <mergeCell ref="AN5:AP5"/>
    <mergeCell ref="AQ5:AS5"/>
    <mergeCell ref="AT5:AV5"/>
    <mergeCell ref="M5:O5"/>
    <mergeCell ref="BC5:BE5"/>
    <mergeCell ref="BR5:BT5"/>
    <mergeCell ref="BX5:BZ5"/>
    <mergeCell ref="BF5:BH5"/>
    <mergeCell ref="BU5:BW5"/>
    <mergeCell ref="BL5:BN5"/>
    <mergeCell ref="BI5:BK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31.12.2010. godine.&amp;R&amp;P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Kapital</vt:lpstr>
      <vt:lpstr>Ukupni prihod</vt:lpstr>
      <vt:lpstr>Dobit</vt:lpstr>
      <vt:lpstr>Poslovni pokazatelji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Muamer</cp:lastModifiedBy>
  <cp:lastPrinted>2018-02-27T10:25:28Z</cp:lastPrinted>
  <dcterms:created xsi:type="dcterms:W3CDTF">2011-07-19T14:05:47Z</dcterms:created>
  <dcterms:modified xsi:type="dcterms:W3CDTF">2018-02-27T10:25:35Z</dcterms:modified>
</cp:coreProperties>
</file>