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5180" windowHeight="8835" tabRatio="546"/>
  </bookViews>
  <sheets>
    <sheet name="Kapital" sheetId="8" r:id="rId1"/>
    <sheet name="Ukupni prihod" sheetId="4" r:id="rId2"/>
    <sheet name="Dobit" sheetId="6" r:id="rId3"/>
    <sheet name="Poslovni pokazatelji" sheetId="9" r:id="rId4"/>
  </sheets>
  <calcPr calcId="145621"/>
</workbook>
</file>

<file path=xl/calcChain.xml><?xml version="1.0" encoding="utf-8"?>
<calcChain xmlns="http://schemas.openxmlformats.org/spreadsheetml/2006/main">
  <c r="E28" i="6" l="1"/>
  <c r="E29" i="6"/>
  <c r="E30" i="6"/>
  <c r="E31" i="6"/>
  <c r="E32" i="6"/>
  <c r="E33" i="6"/>
  <c r="E34" i="6"/>
  <c r="E20" i="6"/>
  <c r="E21" i="6"/>
  <c r="G19" i="4"/>
  <c r="H19" i="4"/>
  <c r="I19" i="4"/>
  <c r="G20" i="4"/>
  <c r="H20" i="4"/>
  <c r="I20" i="4"/>
  <c r="G17" i="8"/>
  <c r="H17" i="8"/>
  <c r="I17" i="8"/>
  <c r="G18" i="8"/>
  <c r="H18" i="8"/>
  <c r="I18" i="8"/>
  <c r="CB12" i="9" l="1"/>
  <c r="CB11" i="9"/>
  <c r="CB10" i="9"/>
  <c r="BY12" i="9"/>
  <c r="BY11" i="9"/>
  <c r="BY10" i="9"/>
  <c r="BV12" i="9"/>
  <c r="BV11" i="9"/>
  <c r="BV10" i="9"/>
  <c r="BS12" i="9"/>
  <c r="BS11" i="9"/>
  <c r="BS10" i="9"/>
  <c r="BP12" i="9"/>
  <c r="BP11" i="9"/>
  <c r="BP10" i="9"/>
  <c r="BM12" i="9"/>
  <c r="BM11" i="9"/>
  <c r="BM10" i="9"/>
  <c r="BJ12" i="9"/>
  <c r="BJ11" i="9"/>
  <c r="BJ10" i="9"/>
  <c r="BG12" i="9"/>
  <c r="BG11" i="9"/>
  <c r="BG10" i="9"/>
  <c r="BD12" i="9"/>
  <c r="BD11" i="9"/>
  <c r="BD10" i="9"/>
  <c r="BA12" i="9"/>
  <c r="BA11" i="9"/>
  <c r="BA10" i="9"/>
  <c r="AX12" i="9"/>
  <c r="AX11" i="9"/>
  <c r="AX10" i="9"/>
  <c r="AU12" i="9"/>
  <c r="AU11" i="9"/>
  <c r="AU10" i="9"/>
  <c r="AR12" i="9"/>
  <c r="AR11" i="9"/>
  <c r="AR10" i="9"/>
  <c r="AO12" i="9"/>
  <c r="AO11" i="9"/>
  <c r="AO10" i="9"/>
  <c r="AL12" i="9"/>
  <c r="AL11" i="9"/>
  <c r="AL10" i="9"/>
  <c r="AI12" i="9"/>
  <c r="AI11" i="9"/>
  <c r="AI10" i="9"/>
  <c r="AF12" i="9"/>
  <c r="AF11" i="9"/>
  <c r="AF10" i="9"/>
  <c r="AC12" i="9"/>
  <c r="AC11" i="9"/>
  <c r="AC10" i="9"/>
  <c r="Z12" i="9"/>
  <c r="Z11" i="9"/>
  <c r="Z10" i="9"/>
  <c r="X9" i="9"/>
  <c r="X8" i="9"/>
  <c r="X7" i="9"/>
  <c r="W12" i="9"/>
  <c r="X12" i="9" s="1"/>
  <c r="W11" i="9"/>
  <c r="X11" i="9" s="1"/>
  <c r="W10" i="9"/>
  <c r="X10" i="9" s="1"/>
  <c r="T12" i="9"/>
  <c r="T11" i="9"/>
  <c r="T10" i="9"/>
  <c r="Q12" i="9"/>
  <c r="Q11" i="9"/>
  <c r="Q10" i="9"/>
  <c r="N12" i="9"/>
  <c r="N11" i="9"/>
  <c r="N10" i="9"/>
  <c r="K12" i="9"/>
  <c r="K11" i="9"/>
  <c r="K10" i="9"/>
  <c r="H12" i="9"/>
  <c r="H11" i="9"/>
  <c r="H10" i="9"/>
  <c r="E12" i="9"/>
  <c r="E11" i="9"/>
  <c r="E10" i="9"/>
  <c r="D22" i="6"/>
  <c r="C22" i="6"/>
  <c r="I22" i="4"/>
  <c r="F23" i="4"/>
  <c r="G22" i="4" s="1"/>
  <c r="C23" i="4"/>
  <c r="D22" i="4" s="1"/>
  <c r="F23" i="8"/>
  <c r="C23" i="8"/>
  <c r="D17" i="8" s="1"/>
  <c r="F36" i="4" l="1"/>
  <c r="C36" i="4"/>
  <c r="C37" i="4"/>
  <c r="F36" i="8"/>
  <c r="C36" i="8"/>
  <c r="C35" i="6"/>
  <c r="C36" i="6"/>
  <c r="I36" i="4" l="1"/>
  <c r="E36" i="4"/>
  <c r="E22" i="4"/>
  <c r="I36" i="8"/>
  <c r="E17" i="6"/>
  <c r="E10" i="6"/>
  <c r="E6" i="6"/>
  <c r="E8" i="6"/>
  <c r="E9" i="6"/>
  <c r="E12" i="6"/>
  <c r="E15" i="6"/>
  <c r="E14" i="6"/>
  <c r="E11" i="6"/>
  <c r="E13" i="6"/>
  <c r="E16" i="6"/>
  <c r="E19" i="6"/>
  <c r="I13" i="4"/>
  <c r="I14" i="4"/>
  <c r="I15" i="4"/>
  <c r="I16" i="4"/>
  <c r="I18" i="4"/>
  <c r="I17" i="4"/>
  <c r="I21" i="4"/>
  <c r="I7" i="4"/>
  <c r="I8" i="4"/>
  <c r="I9" i="4"/>
  <c r="I11" i="4"/>
  <c r="I10" i="4"/>
  <c r="I11" i="8"/>
  <c r="I9" i="8"/>
  <c r="I12" i="8"/>
  <c r="I13" i="8"/>
  <c r="I14" i="8"/>
  <c r="I16" i="8"/>
  <c r="I15" i="8"/>
  <c r="I19" i="8"/>
  <c r="I21" i="8"/>
  <c r="I20" i="8"/>
  <c r="I22" i="8"/>
  <c r="I8" i="8"/>
  <c r="I7" i="8"/>
  <c r="G10" i="8"/>
  <c r="G14" i="4" l="1"/>
  <c r="F37" i="4"/>
  <c r="G11" i="4"/>
  <c r="G8" i="4"/>
  <c r="G21" i="4"/>
  <c r="G18" i="4"/>
  <c r="G15" i="4"/>
  <c r="G13" i="4"/>
  <c r="G10" i="4"/>
  <c r="G9" i="4"/>
  <c r="G7" i="4"/>
  <c r="G17" i="4"/>
  <c r="G16" i="4"/>
  <c r="G8" i="8"/>
  <c r="G20" i="8"/>
  <c r="G15" i="8"/>
  <c r="G14" i="8"/>
  <c r="G12" i="8"/>
  <c r="G11" i="8"/>
  <c r="G7" i="8"/>
  <c r="G22" i="8"/>
  <c r="G21" i="8"/>
  <c r="G19" i="8"/>
  <c r="G16" i="8"/>
  <c r="G13" i="8"/>
  <c r="G9" i="8"/>
  <c r="H36" i="4" l="1"/>
  <c r="H22" i="4"/>
  <c r="G23" i="8"/>
  <c r="BZ11" i="9" l="1"/>
  <c r="AV12" i="9"/>
  <c r="AV10" i="9"/>
  <c r="AS11" i="9"/>
  <c r="AP12" i="9"/>
  <c r="AP10" i="9"/>
  <c r="AM11" i="9"/>
  <c r="AJ12" i="9"/>
  <c r="AJ10" i="9"/>
  <c r="AG11" i="9"/>
  <c r="AD12" i="9"/>
  <c r="AA11" i="9"/>
  <c r="U12" i="9"/>
  <c r="U10" i="9"/>
  <c r="R11" i="9"/>
  <c r="O12" i="9"/>
  <c r="O10" i="9"/>
  <c r="L11" i="9"/>
  <c r="I12" i="9"/>
  <c r="I10" i="9"/>
  <c r="F11" i="9"/>
  <c r="BW12" i="9"/>
  <c r="BW10" i="9"/>
  <c r="BT11" i="9"/>
  <c r="BQ12" i="9"/>
  <c r="BQ10" i="9"/>
  <c r="BK7" i="9"/>
  <c r="BK12" i="9"/>
  <c r="BK10" i="9"/>
  <c r="BE7" i="9"/>
  <c r="BH7" i="9"/>
  <c r="BE12" i="9"/>
  <c r="F7" i="9"/>
  <c r="BZ8" i="9"/>
  <c r="CC8" i="9"/>
  <c r="CC7" i="9"/>
  <c r="BZ9" i="9"/>
  <c r="BZ7" i="9"/>
  <c r="BW9" i="9"/>
  <c r="BW8" i="9"/>
  <c r="BW7" i="9"/>
  <c r="BT9" i="9"/>
  <c r="BT8" i="9"/>
  <c r="BT7" i="9"/>
  <c r="BQ9" i="9"/>
  <c r="BQ8" i="9"/>
  <c r="BQ7" i="9"/>
  <c r="BN8" i="9"/>
  <c r="BN7" i="9"/>
  <c r="BK9" i="9"/>
  <c r="BK8" i="9"/>
  <c r="BH9" i="9"/>
  <c r="BH8" i="9"/>
  <c r="BE9" i="9"/>
  <c r="BE8" i="9"/>
  <c r="BB9" i="9"/>
  <c r="BB8" i="9"/>
  <c r="BB7" i="9"/>
  <c r="AY7" i="9"/>
  <c r="AY8" i="9"/>
  <c r="AV9" i="9"/>
  <c r="AV8" i="9"/>
  <c r="AV7" i="9"/>
  <c r="AS9" i="9"/>
  <c r="AS8" i="9"/>
  <c r="AS7" i="9"/>
  <c r="AP9" i="9"/>
  <c r="AP8" i="9"/>
  <c r="AP7" i="9"/>
  <c r="AM9" i="9"/>
  <c r="AM8" i="9"/>
  <c r="AM7" i="9"/>
  <c r="AJ9" i="9"/>
  <c r="AJ8" i="9"/>
  <c r="AJ7" i="9"/>
  <c r="AG7" i="9"/>
  <c r="AG9" i="9"/>
  <c r="AG8" i="9"/>
  <c r="AD8" i="9"/>
  <c r="AD7" i="9"/>
  <c r="AA9" i="9"/>
  <c r="AA8" i="9"/>
  <c r="AA7" i="9"/>
  <c r="U9" i="9"/>
  <c r="U8" i="9"/>
  <c r="U7" i="9"/>
  <c r="R9" i="9"/>
  <c r="R8" i="9"/>
  <c r="R7" i="9"/>
  <c r="O8" i="9"/>
  <c r="O9" i="9"/>
  <c r="O7" i="9"/>
  <c r="L9" i="9"/>
  <c r="L8" i="9"/>
  <c r="L7" i="9"/>
  <c r="I8" i="9"/>
  <c r="I9" i="9"/>
  <c r="I7" i="9"/>
  <c r="F9" i="9"/>
  <c r="F8" i="9"/>
  <c r="CC12" i="9"/>
  <c r="BZ12" i="9"/>
  <c r="BZ10" i="9"/>
  <c r="BW11" i="9"/>
  <c r="BT12" i="9"/>
  <c r="BT10" i="9"/>
  <c r="BQ11" i="9"/>
  <c r="BN12" i="9"/>
  <c r="BK11" i="9"/>
  <c r="BH12" i="9"/>
  <c r="BH11" i="9"/>
  <c r="BH10" i="9"/>
  <c r="BE11" i="9"/>
  <c r="BE10" i="9"/>
  <c r="BB12" i="9"/>
  <c r="BB11" i="9"/>
  <c r="BB10" i="9"/>
  <c r="AY12" i="9"/>
  <c r="AV11" i="9"/>
  <c r="AS12" i="9"/>
  <c r="AS10" i="9"/>
  <c r="AP11" i="9"/>
  <c r="AM12" i="9"/>
  <c r="AM10" i="9"/>
  <c r="AJ11" i="9"/>
  <c r="AG12" i="9"/>
  <c r="AG10" i="9"/>
  <c r="AA12" i="9"/>
  <c r="AA10" i="9"/>
  <c r="U11" i="9"/>
  <c r="R12" i="9"/>
  <c r="R10" i="9"/>
  <c r="O11" i="9"/>
  <c r="L12" i="9"/>
  <c r="L10" i="9"/>
  <c r="I11" i="9"/>
  <c r="F12" i="9"/>
  <c r="F10" i="9"/>
  <c r="I31" i="8"/>
  <c r="I10" i="8"/>
  <c r="I34" i="8"/>
  <c r="I35" i="8"/>
  <c r="I33" i="8"/>
  <c r="I32" i="8"/>
  <c r="I30" i="8"/>
  <c r="I29" i="8"/>
  <c r="I26" i="8"/>
  <c r="I27" i="8"/>
  <c r="I25" i="8"/>
  <c r="I28" i="8"/>
  <c r="G35" i="8"/>
  <c r="D34" i="8"/>
  <c r="I23" i="8"/>
  <c r="D35" i="6"/>
  <c r="E25" i="6"/>
  <c r="E24" i="6"/>
  <c r="E27" i="6"/>
  <c r="E26" i="6"/>
  <c r="E7" i="6"/>
  <c r="D18" i="4"/>
  <c r="I25" i="4"/>
  <c r="G25" i="4"/>
  <c r="D26" i="4"/>
  <c r="I34" i="4"/>
  <c r="I35" i="4"/>
  <c r="I27" i="4"/>
  <c r="I29" i="4"/>
  <c r="I31" i="4"/>
  <c r="I32" i="4"/>
  <c r="I33" i="4"/>
  <c r="I30" i="4"/>
  <c r="I28" i="4"/>
  <c r="I26" i="4"/>
  <c r="I12" i="4"/>
  <c r="G26" i="8"/>
  <c r="D10" i="8"/>
  <c r="G34" i="8"/>
  <c r="G30" i="8"/>
  <c r="G27" i="8"/>
  <c r="G28" i="8"/>
  <c r="G31" i="8"/>
  <c r="D25" i="4" l="1"/>
  <c r="D31" i="4"/>
  <c r="D10" i="4"/>
  <c r="D30" i="4"/>
  <c r="D7" i="4"/>
  <c r="D34" i="4"/>
  <c r="D33" i="4"/>
  <c r="D27" i="4"/>
  <c r="D35" i="4"/>
  <c r="D32" i="4"/>
  <c r="D29" i="4"/>
  <c r="D28" i="4"/>
  <c r="D15" i="4"/>
  <c r="D22" i="8"/>
  <c r="D20" i="8"/>
  <c r="E23" i="4"/>
  <c r="D21" i="4"/>
  <c r="D19" i="4"/>
  <c r="D13" i="4"/>
  <c r="D9" i="4"/>
  <c r="E22" i="6"/>
  <c r="D36" i="6"/>
  <c r="G12" i="4"/>
  <c r="G23" i="4" s="1"/>
  <c r="D13" i="8"/>
  <c r="D14" i="8"/>
  <c r="D28" i="8"/>
  <c r="D31" i="8"/>
  <c r="D16" i="8"/>
  <c r="D9" i="8"/>
  <c r="D18" i="8"/>
  <c r="D11" i="8"/>
  <c r="D21" i="8"/>
  <c r="D26" i="8"/>
  <c r="D15" i="8"/>
  <c r="D7" i="8"/>
  <c r="D12" i="8"/>
  <c r="D19" i="8"/>
  <c r="E35" i="6"/>
  <c r="E36" i="6"/>
  <c r="G34" i="4"/>
  <c r="G33" i="4"/>
  <c r="G31" i="4"/>
  <c r="G28" i="4"/>
  <c r="G35" i="4"/>
  <c r="G32" i="4"/>
  <c r="G29" i="4"/>
  <c r="G26" i="4"/>
  <c r="G30" i="4"/>
  <c r="G27" i="4"/>
  <c r="I23" i="4"/>
  <c r="D32" i="8"/>
  <c r="D27" i="8"/>
  <c r="D17" i="4"/>
  <c r="D20" i="4"/>
  <c r="D16" i="4"/>
  <c r="D14" i="4"/>
  <c r="D12" i="4"/>
  <c r="D11" i="4"/>
  <c r="D8" i="4"/>
  <c r="E17" i="4"/>
  <c r="E19" i="4"/>
  <c r="E16" i="4"/>
  <c r="E30" i="4"/>
  <c r="E13" i="4"/>
  <c r="E26" i="4"/>
  <c r="E14" i="4"/>
  <c r="E34" i="4"/>
  <c r="E27" i="4"/>
  <c r="E18" i="4"/>
  <c r="E10" i="4"/>
  <c r="E25" i="4"/>
  <c r="E32" i="4"/>
  <c r="E28" i="4"/>
  <c r="G33" i="8"/>
  <c r="F37" i="8"/>
  <c r="G25" i="8"/>
  <c r="G32" i="8"/>
  <c r="G29" i="8"/>
  <c r="D8" i="8"/>
  <c r="C37" i="8"/>
  <c r="D30" i="8"/>
  <c r="D35" i="8"/>
  <c r="D29" i="8"/>
  <c r="D33" i="8"/>
  <c r="D25" i="8"/>
  <c r="G36" i="4" l="1"/>
  <c r="D23" i="4"/>
  <c r="D36" i="8"/>
  <c r="D23" i="8"/>
  <c r="D36" i="4"/>
  <c r="G36" i="8"/>
  <c r="E15" i="8"/>
  <c r="E17" i="8"/>
  <c r="E15" i="4"/>
  <c r="E7" i="4"/>
  <c r="E33" i="4"/>
  <c r="E11" i="4"/>
  <c r="E20" i="4"/>
  <c r="E35" i="4"/>
  <c r="E21" i="4"/>
  <c r="E8" i="4"/>
  <c r="E29" i="4"/>
  <c r="E31" i="4"/>
  <c r="E12" i="4"/>
  <c r="E37" i="4"/>
  <c r="E9" i="4"/>
  <c r="H14" i="4"/>
  <c r="H16" i="4"/>
  <c r="H17" i="4"/>
  <c r="H7" i="4"/>
  <c r="H9" i="4"/>
  <c r="H10" i="4"/>
  <c r="H13" i="4"/>
  <c r="H15" i="4"/>
  <c r="H18" i="4"/>
  <c r="H21" i="4"/>
  <c r="H8" i="4"/>
  <c r="H11" i="4"/>
  <c r="H9" i="8"/>
  <c r="H13" i="8"/>
  <c r="H16" i="8"/>
  <c r="H19" i="8"/>
  <c r="H21" i="8"/>
  <c r="H22" i="8"/>
  <c r="H7" i="8"/>
  <c r="H11" i="8"/>
  <c r="H12" i="8"/>
  <c r="H14" i="8"/>
  <c r="H15" i="8"/>
  <c r="H20" i="8"/>
  <c r="H8" i="8"/>
  <c r="H10" i="8"/>
  <c r="H23" i="4"/>
  <c r="E30" i="8"/>
  <c r="E18" i="8"/>
  <c r="E11" i="8"/>
  <c r="E35" i="8"/>
  <c r="E34" i="8"/>
  <c r="E22" i="8"/>
  <c r="E12" i="8"/>
  <c r="E33" i="8"/>
  <c r="E13" i="8"/>
  <c r="E29" i="8"/>
  <c r="E9" i="8"/>
  <c r="H30" i="8"/>
  <c r="H28" i="8"/>
  <c r="H26" i="8"/>
  <c r="H31" i="8"/>
  <c r="H25" i="8"/>
  <c r="H27" i="4"/>
  <c r="H32" i="4"/>
  <c r="H26" i="4"/>
  <c r="H25" i="4"/>
  <c r="I37" i="4"/>
  <c r="H29" i="4"/>
  <c r="H35" i="4"/>
  <c r="H28" i="4"/>
  <c r="H12" i="4"/>
  <c r="H33" i="4"/>
  <c r="H34" i="4"/>
  <c r="H30" i="4"/>
  <c r="H31" i="4"/>
  <c r="H32" i="8"/>
  <c r="H29" i="8"/>
  <c r="H27" i="8"/>
  <c r="H34" i="8"/>
  <c r="H33" i="8"/>
  <c r="H35" i="8"/>
  <c r="I37" i="8"/>
  <c r="E32" i="8"/>
  <c r="E19" i="8"/>
  <c r="E16" i="8"/>
  <c r="E31" i="8"/>
  <c r="E20" i="8"/>
  <c r="E14" i="8"/>
  <c r="E27" i="8"/>
  <c r="E10" i="8"/>
  <c r="E25" i="8"/>
  <c r="E7" i="8"/>
  <c r="E28" i="8"/>
  <c r="E26" i="8"/>
  <c r="E8" i="8"/>
  <c r="E21" i="8"/>
  <c r="H36" i="8" l="1"/>
  <c r="H23" i="8"/>
  <c r="E23" i="8"/>
  <c r="E36" i="8"/>
  <c r="H37" i="4"/>
  <c r="H37" i="8" l="1"/>
  <c r="E37" i="8"/>
</calcChain>
</file>

<file path=xl/sharedStrings.xml><?xml version="1.0" encoding="utf-8"?>
<sst xmlns="http://schemas.openxmlformats.org/spreadsheetml/2006/main" count="258" uniqueCount="93">
  <si>
    <t xml:space="preserve"> </t>
  </si>
  <si>
    <t>-</t>
  </si>
  <si>
    <t>ASA OSIGURANJE d.d.</t>
  </si>
  <si>
    <t>BOSNA - SUNCE OSIGURANJE d.d.</t>
  </si>
  <si>
    <t>D.D. ZA OSIGURANJE CAMELIJA</t>
  </si>
  <si>
    <t>CROATIA OSIGURANJE d.d.</t>
  </si>
  <si>
    <t>EUROHERC OSIGURANJE d.d.</t>
  </si>
  <si>
    <t>GRAWE OSIGURANJE d.d. SA</t>
  </si>
  <si>
    <t>LIDO OSIGURANJE d.d.</t>
  </si>
  <si>
    <t>LOK OSIGURANJE d.d.</t>
  </si>
  <si>
    <t>SARAJEVO OSIGURANJE d.d.</t>
  </si>
  <si>
    <t>TRIGLAV BH OSIGURANJE d.d.</t>
  </si>
  <si>
    <t>UNIQA OSIGURANJE d.d.</t>
  </si>
  <si>
    <t>D.D. ZA OSIGURANJE VGT VISOKO</t>
  </si>
  <si>
    <t>ZOVKO OSIGURANJE d.d.</t>
  </si>
  <si>
    <t>BOBAR OSIGURANJE a.d.</t>
  </si>
  <si>
    <t>D.D. BRČKO GAS OSIGURANJE</t>
  </si>
  <si>
    <t>DRINA OSIGURANJE a.d.</t>
  </si>
  <si>
    <t>GRAWE OSIGURANJE a.d. BL</t>
  </si>
  <si>
    <t>JAHORINA OSIGURANJE a.d.</t>
  </si>
  <si>
    <t>KRAJINA OSIGURANJE a.d.</t>
  </si>
  <si>
    <t>MIKROFIN OSIGURANJE a.d.</t>
  </si>
  <si>
    <t>NEŠKOVIĆ OSIGURANJE a.d.</t>
  </si>
  <si>
    <t>OSIGURANJE AURA a.d.</t>
  </si>
  <si>
    <t>Promjena</t>
  </si>
  <si>
    <t>Br.</t>
  </si>
  <si>
    <t>Premija po zaposleniku (u KM)</t>
  </si>
  <si>
    <t>Ukupni prihod po zaposleniku (u KM)</t>
  </si>
  <si>
    <t>Dobit po zaposleniku (u KM)</t>
  </si>
  <si>
    <t>Dobit/Kapital (%)</t>
  </si>
  <si>
    <t>Dobit/Ukupni prihod (%)</t>
  </si>
  <si>
    <t>Isplaćene štete/Premija (%)</t>
  </si>
  <si>
    <t>Kapital (u KM) i pojedinačni udjeli društava po godini</t>
  </si>
  <si>
    <t>Kapital</t>
  </si>
  <si>
    <t>Promjena u ukupnom kapitalu (%)</t>
  </si>
  <si>
    <t xml:space="preserve">Udio društava u ukupnom kapitalu pojedinačnog entiteta (%) </t>
  </si>
  <si>
    <t>Udio u ukupnom kapitalu svih društava (%)</t>
  </si>
  <si>
    <t>Društva sa sjedištem u FBiH</t>
  </si>
  <si>
    <t>Društva sa sjedištem u RS</t>
  </si>
  <si>
    <t>Ukupno (za društva sa sjedištem u FBiH)</t>
  </si>
  <si>
    <t>Ukupno (za društva sa sjedištem u RS)</t>
  </si>
  <si>
    <t>Ukupni prihod (u KM) i pojedinačni udjeli društava po godini</t>
  </si>
  <si>
    <t>Ukupni prihod</t>
  </si>
  <si>
    <t>Promjena u ukupnom prihodu (%)</t>
  </si>
  <si>
    <t xml:space="preserve">Udio društava u ukupnom prihodu pojedinačnog entiteta (%) </t>
  </si>
  <si>
    <t>Udio u ukupnom prihodu svih društava (%)</t>
  </si>
  <si>
    <t>Promjena u dobiti (%)</t>
  </si>
  <si>
    <t>1.</t>
  </si>
  <si>
    <t>2.</t>
  </si>
  <si>
    <t>3.</t>
  </si>
  <si>
    <t>4.</t>
  </si>
  <si>
    <t>5.</t>
  </si>
  <si>
    <t>6.</t>
  </si>
  <si>
    <t>Sarajevo osiguranje d.d.</t>
  </si>
  <si>
    <t>Bosna reosiguranje d.d.</t>
  </si>
  <si>
    <t>Croatia osiguranje d.d.</t>
  </si>
  <si>
    <t>Grawe osiguranje d.d.</t>
  </si>
  <si>
    <t>Euroherc osiguranje d.d.</t>
  </si>
  <si>
    <t>Uniqa osiguranje d.d.</t>
  </si>
  <si>
    <t>Merkur BH osiguranje d.d.</t>
  </si>
  <si>
    <t>VGT osiguranje d.d.</t>
  </si>
  <si>
    <t>Camelija osiguranje d.d.</t>
  </si>
  <si>
    <t>Zovko osiguranje d.d.</t>
  </si>
  <si>
    <t>Lido osiguranje d.d.</t>
  </si>
  <si>
    <t>ASA osiguranje d.d.</t>
  </si>
  <si>
    <t>Bobar osiguranje a.d.</t>
  </si>
  <si>
    <t>Nešković osiguranje a.d.</t>
  </si>
  <si>
    <t>Jahorina osiguranje a.d.</t>
  </si>
  <si>
    <t>Grawe osiguranje a.d.</t>
  </si>
  <si>
    <t>Drina osiguranje a.d.</t>
  </si>
  <si>
    <t>Krajina osiguranje a.d.</t>
  </si>
  <si>
    <t>Mikrofin osiguranje a.d.</t>
  </si>
  <si>
    <t>Osiguranje Aura a.d.</t>
  </si>
  <si>
    <t>Triglav BH osiguranje d.d.</t>
  </si>
  <si>
    <t>Osiguravajuća i reosiguravajuća društva</t>
  </si>
  <si>
    <t>UKUPNO (za sva društva)</t>
  </si>
  <si>
    <t>Hercegovina osiguranje d.d.</t>
  </si>
  <si>
    <t>2008.</t>
  </si>
  <si>
    <t>2009.</t>
  </si>
  <si>
    <t>Camelijaosiguranje d.d.</t>
  </si>
  <si>
    <t xml:space="preserve">Drina osiguranje a.d. </t>
  </si>
  <si>
    <t>Triglav Krajina-Kopaonik osiguranje a.d.</t>
  </si>
  <si>
    <t>HERCEGOVINA OSIGURANJE d.d.</t>
  </si>
  <si>
    <t>KOSIG DUNAV OSIGURANJE a.d.</t>
  </si>
  <si>
    <t>Brčko-gas osiguranje d.d.</t>
  </si>
  <si>
    <t>Bosna-Sunce osiguranje d.d.</t>
  </si>
  <si>
    <t>LOK osiguranje d.d.</t>
  </si>
  <si>
    <t>Kosig Dunav osiguranje a.d.</t>
  </si>
  <si>
    <t>MERKUR BH OSIGURANJE d.d.</t>
  </si>
  <si>
    <t>TRIGLAV KRAJINA-KOPAONIK OSIGURANJE a.d.</t>
  </si>
  <si>
    <t>Dobit (u KM) i promjena u dobiti (2009. u usporedbi sa 2008.)</t>
  </si>
  <si>
    <t>Skupine osiguranja</t>
  </si>
  <si>
    <t>Poslovni pokazatelji po društvima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</si>
</sst>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-* #,##0.00\ _T_L_-;\-* #,##0.00\ _T_L_-;_-* &quot;-&quot;??\ _T_L_-;_-@_-"/>
  </numFmts>
  <fonts count="48" x14ac:knownFonts="1">
    <font>
      <sz val="10"/>
      <name val="Arial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8"/>
      <name val="Calibri"/>
      <family val="2"/>
    </font>
    <font>
      <sz val="11"/>
      <color indexed="8"/>
      <name val="Arial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i/>
      <sz val="12"/>
      <color indexed="8"/>
      <name val="Calibri"/>
      <family val="2"/>
      <charset val="204"/>
    </font>
    <font>
      <sz val="10"/>
      <name val="Arial CYR"/>
      <charset val="204"/>
    </font>
    <font>
      <sz val="8"/>
      <name val="Calibri"/>
      <family val="2"/>
    </font>
    <font>
      <b/>
      <sz val="11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sz val="11"/>
      <name val="Calibri"/>
      <family val="2"/>
    </font>
    <font>
      <i/>
      <sz val="11"/>
      <color indexed="8"/>
      <name val="Calibri"/>
      <family val="2"/>
      <charset val="204"/>
    </font>
    <font>
      <i/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b/>
      <sz val="11"/>
      <name val="Calibri"/>
      <family val="2"/>
    </font>
    <font>
      <i/>
      <sz val="11"/>
      <color indexed="8"/>
      <name val="Calibri"/>
      <family val="2"/>
    </font>
    <font>
      <i/>
      <sz val="11"/>
      <name val="Calibri"/>
      <family val="2"/>
    </font>
    <font>
      <b/>
      <i/>
      <sz val="11"/>
      <color indexed="8"/>
      <name val="Calibri"/>
      <family val="2"/>
    </font>
    <font>
      <sz val="11"/>
      <color theme="0"/>
      <name val="Calibri"/>
      <family val="2"/>
      <charset val="204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9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16">
    <xf numFmtId="0" fontId="0" fillId="0" borderId="0"/>
    <xf numFmtId="0" fontId="2" fillId="2" borderId="0" applyNumberFormat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3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5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5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9" fillId="0" borderId="0"/>
    <xf numFmtId="0" fontId="17" fillId="22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/>
    <xf numFmtId="0" fontId="3" fillId="0" borderId="0"/>
    <xf numFmtId="0" fontId="28" fillId="0" borderId="0" applyFill="0">
      <alignment horizontal="center" vertical="center" wrapText="1"/>
    </xf>
    <xf numFmtId="0" fontId="20" fillId="0" borderId="0"/>
    <xf numFmtId="0" fontId="3" fillId="23" borderId="7" applyNumberFormat="0" applyFont="0" applyAlignment="0" applyProtection="0"/>
    <xf numFmtId="0" fontId="9" fillId="0" borderId="0"/>
    <xf numFmtId="0" fontId="21" fillId="20" borderId="8" applyNumberFormat="0" applyAlignment="0" applyProtection="0"/>
    <xf numFmtId="0" fontId="9" fillId="0" borderId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177">
    <xf numFmtId="0" fontId="0" fillId="0" borderId="0" xfId="0"/>
    <xf numFmtId="0" fontId="25" fillId="0" borderId="0" xfId="206" applyFont="1"/>
    <xf numFmtId="0" fontId="27" fillId="0" borderId="0" xfId="206" applyFont="1" applyAlignment="1">
      <alignment horizontal="left"/>
    </xf>
    <xf numFmtId="0" fontId="26" fillId="0" borderId="0" xfId="206" applyFont="1" applyBorder="1" applyAlignment="1">
      <alignment vertical="center"/>
    </xf>
    <xf numFmtId="0" fontId="25" fillId="0" borderId="0" xfId="206" applyFont="1" applyBorder="1"/>
    <xf numFmtId="0" fontId="27" fillId="0" borderId="0" xfId="206" applyFont="1"/>
    <xf numFmtId="0" fontId="27" fillId="0" borderId="0" xfId="206" applyFont="1" applyBorder="1"/>
    <xf numFmtId="0" fontId="25" fillId="0" borderId="0" xfId="206" applyFont="1" applyBorder="1" applyAlignment="1">
      <alignment horizontal="right"/>
    </xf>
    <xf numFmtId="3" fontId="26" fillId="0" borderId="0" xfId="206" applyNumberFormat="1" applyFont="1" applyBorder="1" applyAlignment="1">
      <alignment horizontal="right"/>
    </xf>
    <xf numFmtId="0" fontId="26" fillId="0" borderId="0" xfId="206" applyFont="1" applyBorder="1" applyAlignment="1">
      <alignment horizontal="right"/>
    </xf>
    <xf numFmtId="0" fontId="26" fillId="0" borderId="0" xfId="206" applyFont="1"/>
    <xf numFmtId="0" fontId="25" fillId="0" borderId="0" xfId="130" applyFont="1"/>
    <xf numFmtId="3" fontId="26" fillId="0" borderId="0" xfId="206" applyNumberFormat="1" applyFont="1" applyBorder="1" applyAlignment="1">
      <alignment horizontal="right" wrapText="1"/>
    </xf>
    <xf numFmtId="0" fontId="1" fillId="0" borderId="0" xfId="205" applyFont="1"/>
    <xf numFmtId="0" fontId="32" fillId="0" borderId="10" xfId="205" applyFont="1" applyBorder="1" applyAlignment="1">
      <alignment horizontal="center" vertical="center"/>
    </xf>
    <xf numFmtId="3" fontId="1" fillId="0" borderId="11" xfId="205" applyNumberFormat="1" applyFont="1" applyBorder="1" applyAlignment="1">
      <alignment horizontal="right"/>
    </xf>
    <xf numFmtId="10" fontId="32" fillId="0" borderId="19" xfId="205" applyNumberFormat="1" applyFont="1" applyFill="1" applyBorder="1" applyAlignment="1" applyProtection="1">
      <alignment horizontal="right" vertical="center" wrapText="1"/>
    </xf>
    <xf numFmtId="10" fontId="32" fillId="0" borderId="12" xfId="205" applyNumberFormat="1" applyFont="1" applyFill="1" applyBorder="1" applyAlignment="1" applyProtection="1">
      <alignment horizontal="right" vertical="center" wrapText="1"/>
    </xf>
    <xf numFmtId="3" fontId="1" fillId="0" borderId="11" xfId="205" applyNumberFormat="1" applyFont="1" applyBorder="1" applyAlignment="1">
      <alignment horizontal="right" wrapText="1"/>
    </xf>
    <xf numFmtId="0" fontId="32" fillId="0" borderId="15" xfId="205" applyFont="1" applyBorder="1" applyAlignment="1">
      <alignment horizontal="center" vertical="center"/>
    </xf>
    <xf numFmtId="10" fontId="32" fillId="0" borderId="30" xfId="205" applyNumberFormat="1" applyFont="1" applyFill="1" applyBorder="1" applyAlignment="1" applyProtection="1">
      <alignment horizontal="right" vertical="center" wrapText="1"/>
    </xf>
    <xf numFmtId="10" fontId="32" fillId="0" borderId="14" xfId="205" applyNumberFormat="1" applyFont="1" applyFill="1" applyBorder="1" applyAlignment="1" applyProtection="1">
      <alignment horizontal="right" vertical="center" wrapText="1"/>
    </xf>
    <xf numFmtId="3" fontId="33" fillId="0" borderId="0" xfId="205" applyNumberFormat="1" applyFont="1"/>
    <xf numFmtId="3" fontId="34" fillId="0" borderId="0" xfId="205" applyNumberFormat="1" applyFont="1"/>
    <xf numFmtId="0" fontId="32" fillId="0" borderId="28" xfId="205" applyFont="1" applyBorder="1" applyAlignment="1">
      <alignment horizontal="center" vertical="center"/>
    </xf>
    <xf numFmtId="10" fontId="32" fillId="0" borderId="27" xfId="205" applyNumberFormat="1" applyFont="1" applyFill="1" applyBorder="1" applyAlignment="1" applyProtection="1">
      <alignment horizontal="right" vertical="center" wrapText="1"/>
    </xf>
    <xf numFmtId="10" fontId="32" fillId="0" borderId="29" xfId="205" applyNumberFormat="1" applyFont="1" applyFill="1" applyBorder="1" applyAlignment="1" applyProtection="1">
      <alignment horizontal="right" vertical="center" wrapText="1"/>
    </xf>
    <xf numFmtId="0" fontId="32" fillId="24" borderId="13" xfId="205" applyFont="1" applyFill="1" applyBorder="1" applyAlignment="1">
      <alignment horizontal="center" vertical="center" wrapText="1"/>
    </xf>
    <xf numFmtId="0" fontId="32" fillId="24" borderId="15" xfId="205" applyFont="1" applyFill="1" applyBorder="1" applyAlignment="1">
      <alignment horizontal="center" vertical="center" wrapText="1"/>
    </xf>
    <xf numFmtId="0" fontId="32" fillId="24" borderId="33" xfId="205" applyFont="1" applyFill="1" applyBorder="1" applyAlignment="1">
      <alignment horizontal="center" vertical="center" wrapText="1"/>
    </xf>
    <xf numFmtId="0" fontId="32" fillId="0" borderId="18" xfId="207" applyFont="1" applyFill="1" applyBorder="1" applyAlignment="1" applyProtection="1">
      <alignment vertical="center" wrapText="1"/>
    </xf>
    <xf numFmtId="0" fontId="32" fillId="0" borderId="12" xfId="207" applyFont="1" applyFill="1" applyBorder="1" applyAlignment="1" applyProtection="1">
      <alignment vertical="center" wrapText="1"/>
    </xf>
    <xf numFmtId="0" fontId="32" fillId="0" borderId="14" xfId="207" applyFont="1" applyFill="1" applyBorder="1" applyAlignment="1" applyProtection="1">
      <alignment vertical="center" wrapText="1"/>
    </xf>
    <xf numFmtId="3" fontId="1" fillId="0" borderId="10" xfId="205" applyNumberFormat="1" applyFont="1" applyBorder="1" applyAlignment="1">
      <alignment horizontal="right"/>
    </xf>
    <xf numFmtId="2" fontId="1" fillId="0" borderId="19" xfId="205" applyNumberFormat="1" applyFont="1" applyBorder="1" applyAlignment="1"/>
    <xf numFmtId="2" fontId="1" fillId="0" borderId="30" xfId="205" applyNumberFormat="1" applyFont="1" applyBorder="1" applyAlignment="1"/>
    <xf numFmtId="0" fontId="32" fillId="24" borderId="30" xfId="205" applyFont="1" applyFill="1" applyBorder="1" applyAlignment="1">
      <alignment horizontal="center" vertical="center" wrapText="1"/>
    </xf>
    <xf numFmtId="0" fontId="32" fillId="24" borderId="14" xfId="205" applyFont="1" applyFill="1" applyBorder="1" applyAlignment="1">
      <alignment horizontal="center" vertical="center" wrapText="1"/>
    </xf>
    <xf numFmtId="0" fontId="23" fillId="24" borderId="11" xfId="206" applyFont="1" applyFill="1" applyBorder="1" applyAlignment="1">
      <alignment horizontal="center" vertical="center" wrapText="1"/>
    </xf>
    <xf numFmtId="0" fontId="1" fillId="0" borderId="10" xfId="206" applyFont="1" applyBorder="1" applyAlignment="1">
      <alignment horizontal="justify" wrapText="1"/>
    </xf>
    <xf numFmtId="3" fontId="1" fillId="0" borderId="11" xfId="206" applyNumberFormat="1" applyFont="1" applyBorder="1" applyAlignment="1">
      <alignment horizontal="right"/>
    </xf>
    <xf numFmtId="10" fontId="1" fillId="0" borderId="11" xfId="206" applyNumberFormat="1" applyFont="1" applyBorder="1" applyAlignment="1">
      <alignment horizontal="right"/>
    </xf>
    <xf numFmtId="10" fontId="32" fillId="0" borderId="11" xfId="206" applyNumberFormat="1" applyFont="1" applyBorder="1" applyAlignment="1">
      <alignment horizontal="right"/>
    </xf>
    <xf numFmtId="10" fontId="36" fillId="0" borderId="12" xfId="206" applyNumberFormat="1" applyFont="1" applyBorder="1" applyAlignment="1">
      <alignment horizontal="right"/>
    </xf>
    <xf numFmtId="0" fontId="36" fillId="24" borderId="10" xfId="206" applyFont="1" applyFill="1" applyBorder="1" applyAlignment="1">
      <alignment horizontal="right" wrapText="1"/>
    </xf>
    <xf numFmtId="3" fontId="36" fillId="24" borderId="11" xfId="206" applyNumberFormat="1" applyFont="1" applyFill="1" applyBorder="1" applyAlignment="1">
      <alignment horizontal="right"/>
    </xf>
    <xf numFmtId="10" fontId="36" fillId="24" borderId="11" xfId="206" applyNumberFormat="1" applyFont="1" applyFill="1" applyBorder="1" applyAlignment="1">
      <alignment horizontal="right"/>
    </xf>
    <xf numFmtId="3" fontId="37" fillId="24" borderId="11" xfId="206" applyNumberFormat="1" applyFont="1" applyFill="1" applyBorder="1" applyAlignment="1">
      <alignment horizontal="right"/>
    </xf>
    <xf numFmtId="10" fontId="37" fillId="24" borderId="11" xfId="206" applyNumberFormat="1" applyFont="1" applyFill="1" applyBorder="1" applyAlignment="1">
      <alignment horizontal="right"/>
    </xf>
    <xf numFmtId="10" fontId="36" fillId="24" borderId="12" xfId="206" applyNumberFormat="1" applyFont="1" applyFill="1" applyBorder="1" applyAlignment="1">
      <alignment horizontal="right"/>
    </xf>
    <xf numFmtId="0" fontId="1" fillId="0" borderId="10" xfId="206" applyFont="1" applyBorder="1" applyAlignment="1">
      <alignment horizontal="justify"/>
    </xf>
    <xf numFmtId="3" fontId="1" fillId="0" borderId="11" xfId="206" applyNumberFormat="1" applyFont="1" applyBorder="1" applyAlignment="1"/>
    <xf numFmtId="0" fontId="1" fillId="0" borderId="10" xfId="206" applyFont="1" applyBorder="1" applyAlignment="1">
      <alignment horizontal="left"/>
    </xf>
    <xf numFmtId="49" fontId="38" fillId="0" borderId="10" xfId="206" applyNumberFormat="1" applyFont="1" applyBorder="1" applyAlignment="1">
      <alignment horizontal="left" wrapText="1"/>
    </xf>
    <xf numFmtId="3" fontId="36" fillId="24" borderId="11" xfId="206" applyNumberFormat="1" applyFont="1" applyFill="1" applyBorder="1" applyAlignment="1"/>
    <xf numFmtId="3" fontId="37" fillId="24" borderId="11" xfId="206" applyNumberFormat="1" applyFont="1" applyFill="1" applyBorder="1" applyAlignment="1"/>
    <xf numFmtId="0" fontId="23" fillId="25" borderId="15" xfId="206" applyFont="1" applyFill="1" applyBorder="1" applyAlignment="1">
      <alignment horizontal="right" wrapText="1"/>
    </xf>
    <xf numFmtId="3" fontId="23" fillId="25" borderId="13" xfId="206" applyNumberFormat="1" applyFont="1" applyFill="1" applyBorder="1" applyAlignment="1"/>
    <xf numFmtId="10" fontId="36" fillId="25" borderId="13" xfId="206" applyNumberFormat="1" applyFont="1" applyFill="1" applyBorder="1" applyAlignment="1">
      <alignment horizontal="right"/>
    </xf>
    <xf numFmtId="10" fontId="23" fillId="25" borderId="13" xfId="206" applyNumberFormat="1" applyFont="1" applyFill="1" applyBorder="1" applyAlignment="1">
      <alignment horizontal="right" wrapText="1"/>
    </xf>
    <xf numFmtId="3" fontId="30" fillId="25" borderId="13" xfId="206" applyNumberFormat="1" applyFont="1" applyFill="1" applyBorder="1" applyAlignment="1"/>
    <xf numFmtId="10" fontId="37" fillId="25" borderId="13" xfId="206" applyNumberFormat="1" applyFont="1" applyFill="1" applyBorder="1" applyAlignment="1">
      <alignment horizontal="right"/>
    </xf>
    <xf numFmtId="10" fontId="30" fillId="25" borderId="13" xfId="206" applyNumberFormat="1" applyFont="1" applyFill="1" applyBorder="1" applyAlignment="1">
      <alignment horizontal="right" wrapText="1"/>
    </xf>
    <xf numFmtId="10" fontId="39" fillId="25" borderId="14" xfId="206" applyNumberFormat="1" applyFont="1" applyFill="1" applyBorder="1" applyAlignment="1">
      <alignment horizontal="right" wrapText="1"/>
    </xf>
    <xf numFmtId="0" fontId="34" fillId="24" borderId="11" xfId="206" applyFont="1" applyFill="1" applyBorder="1" applyAlignment="1">
      <alignment horizontal="center" vertical="center" wrapText="1"/>
    </xf>
    <xf numFmtId="0" fontId="18" fillId="0" borderId="10" xfId="206" applyFont="1" applyFill="1" applyBorder="1" applyAlignment="1">
      <alignment horizontal="justify" wrapText="1"/>
    </xf>
    <xf numFmtId="10" fontId="18" fillId="0" borderId="11" xfId="206" applyNumberFormat="1" applyFont="1" applyBorder="1" applyAlignment="1">
      <alignment horizontal="right"/>
    </xf>
    <xf numFmtId="10" fontId="35" fillId="0" borderId="11" xfId="206" applyNumberFormat="1" applyFont="1" applyBorder="1" applyAlignment="1">
      <alignment horizontal="right"/>
    </xf>
    <xf numFmtId="10" fontId="41" fillId="0" borderId="12" xfId="206" applyNumberFormat="1" applyFont="1" applyFill="1" applyBorder="1" applyAlignment="1">
      <alignment horizontal="right"/>
    </xf>
    <xf numFmtId="0" fontId="41" fillId="24" borderId="10" xfId="206" applyFont="1" applyFill="1" applyBorder="1" applyAlignment="1">
      <alignment horizontal="right" wrapText="1"/>
    </xf>
    <xf numFmtId="3" fontId="41" fillId="24" borderId="11" xfId="206" applyNumberFormat="1" applyFont="1" applyFill="1" applyBorder="1" applyAlignment="1">
      <alignment horizontal="right"/>
    </xf>
    <xf numFmtId="10" fontId="41" fillId="24" borderId="11" xfId="206" applyNumberFormat="1" applyFont="1" applyFill="1" applyBorder="1" applyAlignment="1">
      <alignment horizontal="right"/>
    </xf>
    <xf numFmtId="3" fontId="42" fillId="24" borderId="11" xfId="206" applyNumberFormat="1" applyFont="1" applyFill="1" applyBorder="1" applyAlignment="1">
      <alignment horizontal="right"/>
    </xf>
    <xf numFmtId="10" fontId="42" fillId="24" borderId="11" xfId="206" applyNumberFormat="1" applyFont="1" applyFill="1" applyBorder="1" applyAlignment="1">
      <alignment horizontal="right"/>
    </xf>
    <xf numFmtId="10" fontId="41" fillId="24" borderId="12" xfId="206" applyNumberFormat="1" applyFont="1" applyFill="1" applyBorder="1" applyAlignment="1">
      <alignment horizontal="right"/>
    </xf>
    <xf numFmtId="0" fontId="18" fillId="0" borderId="10" xfId="206" applyFont="1" applyFill="1" applyBorder="1" applyAlignment="1">
      <alignment horizontal="justify"/>
    </xf>
    <xf numFmtId="0" fontId="34" fillId="25" borderId="15" xfId="206" applyFont="1" applyFill="1" applyBorder="1" applyAlignment="1">
      <alignment horizontal="right" wrapText="1"/>
    </xf>
    <xf numFmtId="3" fontId="34" fillId="25" borderId="13" xfId="206" applyNumberFormat="1" applyFont="1" applyFill="1" applyBorder="1" applyAlignment="1">
      <alignment horizontal="right" wrapText="1"/>
    </xf>
    <xf numFmtId="10" fontId="34" fillId="25" borderId="13" xfId="206" applyNumberFormat="1" applyFont="1" applyFill="1" applyBorder="1" applyAlignment="1">
      <alignment horizontal="right" wrapText="1"/>
    </xf>
    <xf numFmtId="3" fontId="40" fillId="25" borderId="13" xfId="206" applyNumberFormat="1" applyFont="1" applyFill="1" applyBorder="1" applyAlignment="1">
      <alignment horizontal="right" wrapText="1"/>
    </xf>
    <xf numFmtId="10" fontId="40" fillId="25" borderId="13" xfId="206" applyNumberFormat="1" applyFont="1" applyFill="1" applyBorder="1" applyAlignment="1">
      <alignment horizontal="right" wrapText="1"/>
    </xf>
    <xf numFmtId="10" fontId="43" fillId="25" borderId="14" xfId="206" applyNumberFormat="1" applyFont="1" applyFill="1" applyBorder="1" applyAlignment="1">
      <alignment horizontal="right" wrapText="1"/>
    </xf>
    <xf numFmtId="0" fontId="30" fillId="25" borderId="16" xfId="206" applyFont="1" applyFill="1" applyBorder="1" applyAlignment="1">
      <alignment horizontal="center" vertical="center" wrapText="1"/>
    </xf>
    <xf numFmtId="0" fontId="23" fillId="25" borderId="17" xfId="130" applyFont="1" applyFill="1" applyBorder="1" applyAlignment="1">
      <alignment horizontal="center" vertical="center"/>
    </xf>
    <xf numFmtId="0" fontId="23" fillId="25" borderId="18" xfId="206" applyFont="1" applyFill="1" applyBorder="1" applyAlignment="1">
      <alignment horizontal="center" vertical="center" wrapText="1"/>
    </xf>
    <xf numFmtId="0" fontId="1" fillId="0" borderId="10" xfId="130" applyFont="1" applyBorder="1" applyAlignment="1">
      <alignment horizontal="justify" vertical="center" wrapText="1"/>
    </xf>
    <xf numFmtId="3" fontId="1" fillId="0" borderId="11" xfId="130" applyNumberFormat="1" applyFont="1" applyBorder="1" applyAlignment="1">
      <alignment horizontal="right" vertical="center"/>
    </xf>
    <xf numFmtId="10" fontId="36" fillId="0" borderId="12" xfId="206" applyNumberFormat="1" applyFont="1" applyBorder="1"/>
    <xf numFmtId="10" fontId="36" fillId="24" borderId="12" xfId="206" applyNumberFormat="1" applyFont="1" applyFill="1" applyBorder="1"/>
    <xf numFmtId="0" fontId="1" fillId="0" borderId="10" xfId="131" applyFont="1" applyBorder="1" applyAlignment="1">
      <alignment horizontal="justify" vertical="center" wrapText="1"/>
    </xf>
    <xf numFmtId="0" fontId="1" fillId="0" borderId="10" xfId="131" applyFont="1" applyBorder="1" applyAlignment="1">
      <alignment horizontal="left" vertical="center" wrapText="1"/>
    </xf>
    <xf numFmtId="3" fontId="23" fillId="25" borderId="13" xfId="206" applyNumberFormat="1" applyFont="1" applyFill="1" applyBorder="1"/>
    <xf numFmtId="10" fontId="39" fillId="25" borderId="14" xfId="206" applyNumberFormat="1" applyFont="1" applyFill="1" applyBorder="1"/>
    <xf numFmtId="0" fontId="44" fillId="0" borderId="0" xfId="205" applyFont="1" applyAlignment="1">
      <alignment horizontal="right"/>
    </xf>
    <xf numFmtId="3" fontId="44" fillId="0" borderId="0" xfId="205" applyNumberFormat="1" applyFont="1"/>
    <xf numFmtId="0" fontId="44" fillId="0" borderId="0" xfId="205" applyFont="1"/>
    <xf numFmtId="3" fontId="45" fillId="0" borderId="0" xfId="205" applyNumberFormat="1" applyFont="1"/>
    <xf numFmtId="10" fontId="44" fillId="0" borderId="0" xfId="205" applyNumberFormat="1" applyFont="1"/>
    <xf numFmtId="4" fontId="45" fillId="0" borderId="0" xfId="205" applyNumberFormat="1" applyFont="1"/>
    <xf numFmtId="3" fontId="46" fillId="0" borderId="0" xfId="0" applyNumberFormat="1" applyFont="1" applyBorder="1"/>
    <xf numFmtId="0" fontId="47" fillId="0" borderId="0" xfId="0" applyFont="1"/>
    <xf numFmtId="3" fontId="0" fillId="0" borderId="0" xfId="0" applyNumberFormat="1"/>
    <xf numFmtId="3" fontId="1" fillId="0" borderId="11" xfId="131" applyNumberFormat="1" applyFont="1" applyBorder="1" applyAlignment="1">
      <alignment vertical="center"/>
    </xf>
    <xf numFmtId="0" fontId="1" fillId="0" borderId="11" xfId="205" applyFont="1" applyBorder="1" applyAlignment="1">
      <alignment horizontal="right" wrapText="1"/>
    </xf>
    <xf numFmtId="10" fontId="1" fillId="0" borderId="11" xfId="205" applyNumberFormat="1" applyFont="1" applyBorder="1" applyAlignment="1">
      <alignment horizontal="right" wrapText="1"/>
    </xf>
    <xf numFmtId="10" fontId="1" fillId="0" borderId="13" xfId="205" applyNumberFormat="1" applyFont="1" applyBorder="1" applyAlignment="1">
      <alignment horizontal="right" wrapText="1"/>
    </xf>
    <xf numFmtId="10" fontId="1" fillId="0" borderId="11" xfId="205" applyNumberFormat="1" applyFont="1" applyBorder="1" applyAlignment="1">
      <alignment horizontal="right"/>
    </xf>
    <xf numFmtId="10" fontId="1" fillId="0" borderId="10" xfId="205" applyNumberFormat="1" applyFont="1" applyBorder="1" applyAlignment="1">
      <alignment horizontal="right"/>
    </xf>
    <xf numFmtId="10" fontId="1" fillId="0" borderId="15" xfId="205" applyNumberFormat="1" applyFont="1" applyBorder="1" applyAlignment="1">
      <alignment horizontal="right"/>
    </xf>
    <xf numFmtId="10" fontId="1" fillId="0" borderId="13" xfId="205" applyNumberFormat="1" applyFont="1" applyBorder="1" applyAlignment="1">
      <alignment horizontal="right"/>
    </xf>
    <xf numFmtId="0" fontId="1" fillId="0" borderId="11" xfId="205" applyFont="1" applyBorder="1" applyAlignment="1">
      <alignment horizontal="right"/>
    </xf>
    <xf numFmtId="3" fontId="1" fillId="0" borderId="21" xfId="205" applyNumberFormat="1" applyFont="1" applyBorder="1" applyAlignment="1">
      <alignment horizontal="right"/>
    </xf>
    <xf numFmtId="3" fontId="1" fillId="0" borderId="21" xfId="205" applyNumberFormat="1" applyFont="1" applyBorder="1" applyAlignment="1">
      <alignment horizontal="right" wrapText="1"/>
    </xf>
    <xf numFmtId="10" fontId="1" fillId="0" borderId="21" xfId="205" applyNumberFormat="1" applyFont="1" applyBorder="1" applyAlignment="1">
      <alignment horizontal="right"/>
    </xf>
    <xf numFmtId="10" fontId="1" fillId="0" borderId="21" xfId="205" applyNumberFormat="1" applyFont="1" applyBorder="1" applyAlignment="1">
      <alignment horizontal="right" wrapText="1"/>
    </xf>
    <xf numFmtId="10" fontId="1" fillId="0" borderId="33" xfId="205" applyNumberFormat="1" applyFont="1" applyBorder="1" applyAlignment="1">
      <alignment horizontal="right" wrapText="1"/>
    </xf>
    <xf numFmtId="0" fontId="1" fillId="0" borderId="10" xfId="205" applyFont="1" applyBorder="1" applyAlignment="1">
      <alignment horizontal="right" wrapText="1"/>
    </xf>
    <xf numFmtId="10" fontId="1" fillId="0" borderId="10" xfId="205" applyNumberFormat="1" applyFont="1" applyBorder="1" applyAlignment="1">
      <alignment horizontal="right" wrapText="1"/>
    </xf>
    <xf numFmtId="10" fontId="1" fillId="0" borderId="15" xfId="205" applyNumberFormat="1" applyFont="1" applyBorder="1" applyAlignment="1">
      <alignment horizontal="right" wrapText="1"/>
    </xf>
    <xf numFmtId="0" fontId="32" fillId="24" borderId="36" xfId="205" applyFont="1" applyFill="1" applyBorder="1" applyAlignment="1">
      <alignment horizontal="center" vertical="center" wrapText="1"/>
    </xf>
    <xf numFmtId="10" fontId="32" fillId="0" borderId="19" xfId="205" applyNumberFormat="1" applyFont="1" applyFill="1" applyBorder="1" applyAlignment="1" applyProtection="1">
      <alignment horizontal="right" wrapText="1"/>
    </xf>
    <xf numFmtId="3" fontId="1" fillId="0" borderId="10" xfId="205" applyNumberFormat="1" applyFont="1" applyBorder="1" applyAlignment="1">
      <alignment horizontal="right" wrapText="1"/>
    </xf>
    <xf numFmtId="10" fontId="1" fillId="0" borderId="33" xfId="205" applyNumberFormat="1" applyFont="1" applyBorder="1" applyAlignment="1">
      <alignment horizontal="right"/>
    </xf>
    <xf numFmtId="0" fontId="32" fillId="24" borderId="37" xfId="205" applyFont="1" applyFill="1" applyBorder="1" applyAlignment="1">
      <alignment horizontal="center" vertical="center" wrapText="1"/>
    </xf>
    <xf numFmtId="0" fontId="32" fillId="24" borderId="38" xfId="205" applyFont="1" applyFill="1" applyBorder="1" applyAlignment="1">
      <alignment horizontal="center" vertical="center" wrapText="1"/>
    </xf>
    <xf numFmtId="0" fontId="32" fillId="24" borderId="39" xfId="205" applyFont="1" applyFill="1" applyBorder="1" applyAlignment="1">
      <alignment horizontal="center" vertical="center" wrapText="1"/>
    </xf>
    <xf numFmtId="3" fontId="1" fillId="0" borderId="16" xfId="205" applyNumberFormat="1" applyFont="1" applyBorder="1" applyAlignment="1">
      <alignment horizontal="right"/>
    </xf>
    <xf numFmtId="3" fontId="1" fillId="0" borderId="32" xfId="205" applyNumberFormat="1" applyFont="1" applyBorder="1" applyAlignment="1">
      <alignment horizontal="right"/>
    </xf>
    <xf numFmtId="10" fontId="32" fillId="0" borderId="18" xfId="205" applyNumberFormat="1" applyFont="1" applyFill="1" applyBorder="1" applyAlignment="1" applyProtection="1">
      <alignment horizontal="right" vertical="center" wrapText="1"/>
    </xf>
    <xf numFmtId="0" fontId="32" fillId="0" borderId="10" xfId="131" applyFont="1" applyBorder="1" applyAlignment="1">
      <alignment horizontal="justify" vertical="center" wrapText="1"/>
    </xf>
    <xf numFmtId="0" fontId="35" fillId="0" borderId="10" xfId="206" applyFont="1" applyFill="1" applyBorder="1" applyAlignment="1">
      <alignment horizontal="justify"/>
    </xf>
    <xf numFmtId="0" fontId="32" fillId="0" borderId="10" xfId="206" applyFont="1" applyBorder="1" applyAlignment="1">
      <alignment horizontal="justify"/>
    </xf>
    <xf numFmtId="0" fontId="26" fillId="0" borderId="19" xfId="206" applyFont="1" applyBorder="1" applyAlignment="1">
      <alignment horizontal="center"/>
    </xf>
    <xf numFmtId="0" fontId="26" fillId="0" borderId="20" xfId="206" applyFont="1" applyBorder="1" applyAlignment="1">
      <alignment horizontal="center"/>
    </xf>
    <xf numFmtId="0" fontId="26" fillId="0" borderId="21" xfId="206" applyFont="1" applyBorder="1" applyAlignment="1">
      <alignment horizontal="center"/>
    </xf>
    <xf numFmtId="0" fontId="23" fillId="0" borderId="10" xfId="206" applyFont="1" applyFill="1" applyBorder="1" applyAlignment="1">
      <alignment horizontal="left" wrapText="1"/>
    </xf>
    <xf numFmtId="0" fontId="23" fillId="0" borderId="11" xfId="206" applyFont="1" applyFill="1" applyBorder="1" applyAlignment="1">
      <alignment horizontal="left" wrapText="1"/>
    </xf>
    <xf numFmtId="0" fontId="23" fillId="0" borderId="12" xfId="206" applyFont="1" applyFill="1" applyBorder="1" applyAlignment="1">
      <alignment horizontal="left" wrapText="1"/>
    </xf>
    <xf numFmtId="0" fontId="23" fillId="25" borderId="18" xfId="206" applyFont="1" applyFill="1" applyBorder="1" applyAlignment="1">
      <alignment horizontal="center" vertical="center" wrapText="1"/>
    </xf>
    <xf numFmtId="0" fontId="23" fillId="25" borderId="12" xfId="206" applyFont="1" applyFill="1" applyBorder="1" applyAlignment="1">
      <alignment horizontal="center" vertical="center" wrapText="1"/>
    </xf>
    <xf numFmtId="0" fontId="23" fillId="25" borderId="17" xfId="206" applyFont="1" applyFill="1" applyBorder="1" applyAlignment="1">
      <alignment horizontal="center" vertical="center"/>
    </xf>
    <xf numFmtId="0" fontId="30" fillId="25" borderId="16" xfId="206" applyFont="1" applyFill="1" applyBorder="1" applyAlignment="1">
      <alignment horizontal="center" vertical="center" wrapText="1"/>
    </xf>
    <xf numFmtId="0" fontId="30" fillId="25" borderId="10" xfId="206" applyFont="1" applyFill="1" applyBorder="1" applyAlignment="1">
      <alignment horizontal="center" vertical="center" wrapText="1"/>
    </xf>
    <xf numFmtId="0" fontId="34" fillId="0" borderId="10" xfId="206" applyFont="1" applyFill="1" applyBorder="1" applyAlignment="1">
      <alignment horizontal="left" wrapText="1"/>
    </xf>
    <xf numFmtId="0" fontId="34" fillId="0" borderId="11" xfId="206" applyFont="1" applyFill="1" applyBorder="1" applyAlignment="1">
      <alignment horizontal="left" wrapText="1"/>
    </xf>
    <xf numFmtId="0" fontId="34" fillId="0" borderId="12" xfId="206" applyFont="1" applyFill="1" applyBorder="1" applyAlignment="1">
      <alignment horizontal="left" wrapText="1"/>
    </xf>
    <xf numFmtId="0" fontId="40" fillId="25" borderId="16" xfId="206" applyFont="1" applyFill="1" applyBorder="1" applyAlignment="1">
      <alignment horizontal="center" vertical="center" wrapText="1"/>
    </xf>
    <xf numFmtId="0" fontId="40" fillId="25" borderId="10" xfId="206" applyFont="1" applyFill="1" applyBorder="1" applyAlignment="1">
      <alignment horizontal="center" vertical="center" wrapText="1"/>
    </xf>
    <xf numFmtId="0" fontId="34" fillId="25" borderId="18" xfId="206" applyFont="1" applyFill="1" applyBorder="1" applyAlignment="1">
      <alignment horizontal="center" vertical="center" wrapText="1"/>
    </xf>
    <xf numFmtId="0" fontId="34" fillId="25" borderId="12" xfId="206" applyFont="1" applyFill="1" applyBorder="1" applyAlignment="1">
      <alignment horizontal="center" vertical="center" wrapText="1"/>
    </xf>
    <xf numFmtId="0" fontId="34" fillId="25" borderId="17" xfId="206" applyFont="1" applyFill="1" applyBorder="1" applyAlignment="1">
      <alignment horizontal="center" vertical="center" wrapText="1"/>
    </xf>
    <xf numFmtId="0" fontId="23" fillId="0" borderId="22" xfId="206" applyFont="1" applyBorder="1" applyAlignment="1">
      <alignment horizontal="left" wrapText="1"/>
    </xf>
    <xf numFmtId="0" fontId="23" fillId="0" borderId="20" xfId="206" applyFont="1" applyBorder="1" applyAlignment="1">
      <alignment horizontal="left" wrapText="1"/>
    </xf>
    <xf numFmtId="0" fontId="23" fillId="0" borderId="23" xfId="206" applyFont="1" applyBorder="1" applyAlignment="1">
      <alignment horizontal="left" wrapText="1"/>
    </xf>
    <xf numFmtId="0" fontId="30" fillId="24" borderId="32" xfId="205" applyFont="1" applyFill="1" applyBorder="1" applyAlignment="1">
      <alignment horizontal="center" vertical="center" wrapText="1"/>
    </xf>
    <xf numFmtId="0" fontId="30" fillId="24" borderId="17" xfId="205" applyFont="1" applyFill="1" applyBorder="1" applyAlignment="1">
      <alignment horizontal="center" vertical="center" wrapText="1"/>
    </xf>
    <xf numFmtId="0" fontId="30" fillId="24" borderId="31" xfId="205" applyFont="1" applyFill="1" applyBorder="1" applyAlignment="1">
      <alignment horizontal="center" vertical="center" wrapText="1"/>
    </xf>
    <xf numFmtId="0" fontId="30" fillId="24" borderId="16" xfId="205" applyFont="1" applyFill="1" applyBorder="1" applyAlignment="1">
      <alignment horizontal="center" vertical="center" wrapText="1"/>
    </xf>
    <xf numFmtId="0" fontId="30" fillId="24" borderId="18" xfId="205" applyFont="1" applyFill="1" applyBorder="1" applyAlignment="1">
      <alignment horizontal="center" vertical="center" wrapText="1"/>
    </xf>
    <xf numFmtId="3" fontId="30" fillId="24" borderId="32" xfId="205" applyNumberFormat="1" applyFont="1" applyFill="1" applyBorder="1" applyAlignment="1">
      <alignment horizontal="center" vertical="center" wrapText="1"/>
    </xf>
    <xf numFmtId="3" fontId="30" fillId="24" borderId="17" xfId="205" applyNumberFormat="1" applyFont="1" applyFill="1" applyBorder="1" applyAlignment="1">
      <alignment horizontal="center" vertical="center" wrapText="1"/>
    </xf>
    <xf numFmtId="3" fontId="30" fillId="24" borderId="31" xfId="205" applyNumberFormat="1" applyFont="1" applyFill="1" applyBorder="1" applyAlignment="1">
      <alignment horizontal="center" vertical="center" wrapText="1"/>
    </xf>
    <xf numFmtId="0" fontId="34" fillId="0" borderId="19" xfId="205" applyFont="1" applyBorder="1" applyAlignment="1">
      <alignment horizontal="left"/>
    </xf>
    <xf numFmtId="0" fontId="34" fillId="0" borderId="20" xfId="205" applyFont="1" applyBorder="1" applyAlignment="1">
      <alignment horizontal="left"/>
    </xf>
    <xf numFmtId="3" fontId="30" fillId="24" borderId="16" xfId="205" applyNumberFormat="1" applyFont="1" applyFill="1" applyBorder="1" applyAlignment="1">
      <alignment horizontal="center" vertical="center" wrapText="1"/>
    </xf>
    <xf numFmtId="3" fontId="30" fillId="24" borderId="18" xfId="205" applyNumberFormat="1" applyFont="1" applyFill="1" applyBorder="1" applyAlignment="1">
      <alignment horizontal="center" vertical="center" wrapText="1"/>
    </xf>
    <xf numFmtId="0" fontId="30" fillId="25" borderId="16" xfId="205" applyFont="1" applyFill="1" applyBorder="1" applyAlignment="1">
      <alignment horizontal="center" vertical="center" wrapText="1"/>
    </xf>
    <xf numFmtId="0" fontId="30" fillId="25" borderId="10" xfId="205" applyFont="1" applyFill="1" applyBorder="1" applyAlignment="1">
      <alignment horizontal="center" vertical="center" wrapText="1"/>
    </xf>
    <xf numFmtId="0" fontId="30" fillId="25" borderId="15" xfId="205" applyFont="1" applyFill="1" applyBorder="1" applyAlignment="1">
      <alignment horizontal="center" vertical="center" wrapText="1"/>
    </xf>
    <xf numFmtId="0" fontId="30" fillId="25" borderId="18" xfId="205" applyFont="1" applyFill="1" applyBorder="1" applyAlignment="1">
      <alignment horizontal="center" vertical="center" wrapText="1"/>
    </xf>
    <xf numFmtId="0" fontId="30" fillId="25" borderId="12" xfId="205" applyFont="1" applyFill="1" applyBorder="1" applyAlignment="1">
      <alignment horizontal="center" vertical="center" wrapText="1"/>
    </xf>
    <xf numFmtId="0" fontId="30" fillId="25" borderId="14" xfId="205" applyFont="1" applyFill="1" applyBorder="1" applyAlignment="1">
      <alignment horizontal="center" vertical="center" wrapText="1"/>
    </xf>
    <xf numFmtId="0" fontId="31" fillId="25" borderId="24" xfId="205" applyFont="1" applyFill="1" applyBorder="1" applyAlignment="1">
      <alignment horizontal="left"/>
    </xf>
    <xf numFmtId="0" fontId="31" fillId="25" borderId="25" xfId="205" applyFont="1" applyFill="1" applyBorder="1" applyAlignment="1">
      <alignment horizontal="left"/>
    </xf>
    <xf numFmtId="0" fontId="31" fillId="25" borderId="26" xfId="205" applyFont="1" applyFill="1" applyBorder="1" applyAlignment="1">
      <alignment horizontal="left"/>
    </xf>
    <xf numFmtId="3" fontId="30" fillId="24" borderId="35" xfId="205" applyNumberFormat="1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</cellXfs>
  <cellStyles count="216">
    <cellStyle name="20% - Accent1" xfId="1" builtinId="30" customBuiltin="1"/>
    <cellStyle name="20% - Accent1 2" xfId="2"/>
    <cellStyle name="20% - Accent2" xfId="3" builtinId="34" customBuiltin="1"/>
    <cellStyle name="20% - Accent3" xfId="4" builtinId="38" customBuiltin="1"/>
    <cellStyle name="20% - Accent4" xfId="5" builtinId="42" customBuiltin="1"/>
    <cellStyle name="20% - Accent5" xfId="6" builtinId="46" customBuiltin="1"/>
    <cellStyle name="20% - Accent6" xfId="7" builtinId="50" customBuiltin="1"/>
    <cellStyle name="40% - Accent1" xfId="8" builtinId="31" customBuiltin="1"/>
    <cellStyle name="40% - Accent1 2" xfId="9"/>
    <cellStyle name="40% - Accent2" xfId="10" builtinId="35" customBuiltin="1"/>
    <cellStyle name="40% - Accent3" xfId="11" builtinId="39" customBuiltin="1"/>
    <cellStyle name="40% - Accent4" xfId="12" builtinId="43" customBuiltin="1"/>
    <cellStyle name="40% - Accent5" xfId="13" builtinId="47" customBuiltin="1"/>
    <cellStyle name="40% - Accent6" xfId="14" builtinId="51" customBuiltin="1"/>
    <cellStyle name="60% - Accent1" xfId="15" builtinId="32" customBuiltin="1"/>
    <cellStyle name="60% - Accent1 2" xfId="16"/>
    <cellStyle name="60% - Accent2" xfId="17" builtinId="36" customBuiltin="1"/>
    <cellStyle name="60% - Accent3" xfId="18" builtinId="40" customBuiltin="1"/>
    <cellStyle name="60% - Accent4" xfId="19" builtinId="44" customBuiltin="1"/>
    <cellStyle name="60% - Accent5" xfId="20" builtinId="48" customBuiltin="1"/>
    <cellStyle name="60% - Accent6" xfId="21" builtinId="52" customBuiltin="1"/>
    <cellStyle name="Accent1" xfId="22" builtinId="29" customBuiltin="1"/>
    <cellStyle name="Accent1 2" xfId="23"/>
    <cellStyle name="Accent2" xfId="24" builtinId="33" customBuiltin="1"/>
    <cellStyle name="Accent3" xfId="25" builtinId="37" customBuiltin="1"/>
    <cellStyle name="Accent4" xfId="26" builtinId="41" customBuiltin="1"/>
    <cellStyle name="Accent5" xfId="27" builtinId="45" customBuiltin="1"/>
    <cellStyle name="Accent6" xfId="28" builtinId="49" customBuiltin="1"/>
    <cellStyle name="Bad" xfId="29" builtinId="27" customBuiltin="1"/>
    <cellStyle name="Calculation" xfId="30" builtinId="22" customBuiltin="1"/>
    <cellStyle name="Check Cell" xfId="31" builtinId="23" customBuiltin="1"/>
    <cellStyle name="Comma 2" xfId="32"/>
    <cellStyle name="Euro" xfId="33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Input" xfId="40" builtinId="20" customBuiltin="1"/>
    <cellStyle name="Linked Cell" xfId="41" builtinId="24" customBuiltin="1"/>
    <cellStyle name="MAND_x000d_CHECK.COMMAND_x000e_RENAME.COMMAND_x0008_SHOW.BAR_x000b_DELETE.MENU_x000e_DELETE.COMMAND_x000e_GET.CHA" xfId="42"/>
    <cellStyle name="Neutral" xfId="43" builtinId="28" customBuiltin="1"/>
    <cellStyle name="Normal" xfId="0" builtinId="0"/>
    <cellStyle name="Normal 10" xfId="44"/>
    <cellStyle name="Normal 100" xfId="45"/>
    <cellStyle name="Normal 101" xfId="46"/>
    <cellStyle name="Normal 102" xfId="47"/>
    <cellStyle name="Normal 103" xfId="48"/>
    <cellStyle name="Normal 104" xfId="49"/>
    <cellStyle name="Normal 105" xfId="50"/>
    <cellStyle name="Normal 106" xfId="51"/>
    <cellStyle name="Normal 107" xfId="52"/>
    <cellStyle name="Normal 108" xfId="53"/>
    <cellStyle name="Normal 109" xfId="54"/>
    <cellStyle name="Normal 11" xfId="55"/>
    <cellStyle name="Normal 110" xfId="56"/>
    <cellStyle name="Normal 111" xfId="57"/>
    <cellStyle name="Normal 112" xfId="58"/>
    <cellStyle name="Normal 113" xfId="59"/>
    <cellStyle name="Normal 114" xfId="60"/>
    <cellStyle name="Normal 115" xfId="61"/>
    <cellStyle name="Normal 116" xfId="62"/>
    <cellStyle name="Normal 117" xfId="63"/>
    <cellStyle name="Normal 118" xfId="64"/>
    <cellStyle name="Normal 119" xfId="65"/>
    <cellStyle name="Normal 12" xfId="66"/>
    <cellStyle name="Normal 120" xfId="67"/>
    <cellStyle name="Normal 121" xfId="68"/>
    <cellStyle name="Normal 122" xfId="69"/>
    <cellStyle name="Normal 123" xfId="70"/>
    <cellStyle name="Normal 124" xfId="71"/>
    <cellStyle name="Normal 125" xfId="72"/>
    <cellStyle name="Normal 126" xfId="73"/>
    <cellStyle name="Normal 127" xfId="74"/>
    <cellStyle name="Normal 128" xfId="75"/>
    <cellStyle name="Normal 129" xfId="76"/>
    <cellStyle name="Normal 13" xfId="77"/>
    <cellStyle name="Normal 130" xfId="78"/>
    <cellStyle name="Normal 131" xfId="79"/>
    <cellStyle name="Normal 132" xfId="80"/>
    <cellStyle name="Normal 133" xfId="81"/>
    <cellStyle name="Normal 134" xfId="82"/>
    <cellStyle name="Normal 135" xfId="83"/>
    <cellStyle name="Normal 136" xfId="84"/>
    <cellStyle name="Normal 137" xfId="85"/>
    <cellStyle name="Normal 138" xfId="86"/>
    <cellStyle name="Normal 139" xfId="87"/>
    <cellStyle name="Normal 14" xfId="88"/>
    <cellStyle name="Normal 140" xfId="89"/>
    <cellStyle name="Normal 141" xfId="90"/>
    <cellStyle name="Normal 142" xfId="91"/>
    <cellStyle name="Normal 143" xfId="92"/>
    <cellStyle name="Normal 144" xfId="93"/>
    <cellStyle name="Normal 145" xfId="94"/>
    <cellStyle name="Normal 146" xfId="95"/>
    <cellStyle name="Normal 147" xfId="96"/>
    <cellStyle name="Normal 148" xfId="97"/>
    <cellStyle name="Normal 149" xfId="98"/>
    <cellStyle name="Normal 15" xfId="99"/>
    <cellStyle name="Normal 150" xfId="100"/>
    <cellStyle name="Normal 151" xfId="101"/>
    <cellStyle name="Normal 153" xfId="102"/>
    <cellStyle name="Normal 154" xfId="103"/>
    <cellStyle name="Normal 155" xfId="104"/>
    <cellStyle name="Normal 156" xfId="105"/>
    <cellStyle name="Normal 157" xfId="106"/>
    <cellStyle name="Normal 158" xfId="107"/>
    <cellStyle name="Normal 159" xfId="108"/>
    <cellStyle name="Normal 16" xfId="109"/>
    <cellStyle name="Normal 17" xfId="110"/>
    <cellStyle name="Normal 18" xfId="111"/>
    <cellStyle name="Normal 19" xfId="112"/>
    <cellStyle name="Normal 2" xfId="113"/>
    <cellStyle name="Normal 2 2" xfId="114"/>
    <cellStyle name="Normal 20" xfId="115"/>
    <cellStyle name="Normal 21" xfId="116"/>
    <cellStyle name="Normal 22" xfId="117"/>
    <cellStyle name="Normal 23" xfId="118"/>
    <cellStyle name="Normal 24" xfId="119"/>
    <cellStyle name="Normal 25" xfId="120"/>
    <cellStyle name="Normal 26" xfId="121"/>
    <cellStyle name="Normal 27" xfId="122"/>
    <cellStyle name="Normal 28" xfId="123"/>
    <cellStyle name="Normal 29" xfId="124"/>
    <cellStyle name="Normal 3" xfId="125"/>
    <cellStyle name="Normal 3 2" xfId="126"/>
    <cellStyle name="Normal 30" xfId="127"/>
    <cellStyle name="Normal 31" xfId="128"/>
    <cellStyle name="Normal 32" xfId="129"/>
    <cellStyle name="Normal 33" xfId="130"/>
    <cellStyle name="Normal 33 2" xfId="131"/>
    <cellStyle name="Normal 34" xfId="132"/>
    <cellStyle name="Normal 35" xfId="133"/>
    <cellStyle name="Normal 36" xfId="134"/>
    <cellStyle name="Normal 37" xfId="135"/>
    <cellStyle name="Normal 38" xfId="136"/>
    <cellStyle name="Normal 39" xfId="137"/>
    <cellStyle name="Normal 4" xfId="138"/>
    <cellStyle name="Normal 4 2" xfId="139"/>
    <cellStyle name="Normal 4_Business Performance indicators 2010" xfId="140"/>
    <cellStyle name="Normal 40" xfId="141"/>
    <cellStyle name="Normal 41" xfId="142"/>
    <cellStyle name="Normal 42" xfId="143"/>
    <cellStyle name="Normal 43" xfId="144"/>
    <cellStyle name="Normal 44" xfId="145"/>
    <cellStyle name="Normal 45" xfId="146"/>
    <cellStyle name="Normal 46" xfId="147"/>
    <cellStyle name="Normal 47" xfId="148"/>
    <cellStyle name="Normal 48" xfId="149"/>
    <cellStyle name="Normal 49" xfId="150"/>
    <cellStyle name="Normal 5" xfId="151"/>
    <cellStyle name="Normal 50" xfId="152"/>
    <cellStyle name="Normal 51" xfId="153"/>
    <cellStyle name="Normal 52" xfId="154"/>
    <cellStyle name="Normal 53" xfId="155"/>
    <cellStyle name="Normal 54" xfId="156"/>
    <cellStyle name="Normal 55" xfId="157"/>
    <cellStyle name="Normal 56" xfId="158"/>
    <cellStyle name="Normal 57" xfId="159"/>
    <cellStyle name="Normal 59" xfId="160"/>
    <cellStyle name="Normal 6" xfId="161"/>
    <cellStyle name="Normal 60" xfId="162"/>
    <cellStyle name="Normal 61" xfId="163"/>
    <cellStyle name="Normal 62" xfId="164"/>
    <cellStyle name="Normal 63" xfId="165"/>
    <cellStyle name="Normal 64" xfId="166"/>
    <cellStyle name="Normal 65" xfId="167"/>
    <cellStyle name="Normal 66" xfId="168"/>
    <cellStyle name="Normal 67" xfId="169"/>
    <cellStyle name="Normal 68" xfId="170"/>
    <cellStyle name="Normal 69" xfId="171"/>
    <cellStyle name="Normal 7" xfId="172"/>
    <cellStyle name="Normal 70" xfId="173"/>
    <cellStyle name="Normal 71" xfId="174"/>
    <cellStyle name="Normal 72" xfId="175"/>
    <cellStyle name="Normal 73" xfId="176"/>
    <cellStyle name="Normal 74" xfId="177"/>
    <cellStyle name="Normal 75" xfId="178"/>
    <cellStyle name="Normal 76" xfId="179"/>
    <cellStyle name="Normal 77" xfId="180"/>
    <cellStyle name="Normal 78" xfId="181"/>
    <cellStyle name="Normal 79" xfId="182"/>
    <cellStyle name="Normal 8" xfId="183"/>
    <cellStyle name="Normal 80" xfId="184"/>
    <cellStyle name="Normal 81" xfId="185"/>
    <cellStyle name="Normal 82" xfId="186"/>
    <cellStyle name="Normal 83" xfId="187"/>
    <cellStyle name="Normal 84" xfId="188"/>
    <cellStyle name="Normal 85" xfId="189"/>
    <cellStyle name="Normal 86" xfId="190"/>
    <cellStyle name="Normal 87" xfId="191"/>
    <cellStyle name="Normal 88" xfId="192"/>
    <cellStyle name="Normal 89" xfId="193"/>
    <cellStyle name="Normal 9" xfId="194"/>
    <cellStyle name="Normal 90" xfId="195"/>
    <cellStyle name="Normal 91" xfId="196"/>
    <cellStyle name="Normal 92" xfId="197"/>
    <cellStyle name="Normal 93" xfId="198"/>
    <cellStyle name="Normal 94" xfId="199"/>
    <cellStyle name="Normal 95" xfId="200"/>
    <cellStyle name="Normal 96" xfId="201"/>
    <cellStyle name="Normal 97" xfId="202"/>
    <cellStyle name="Normal 98" xfId="203"/>
    <cellStyle name="Normal 99" xfId="204"/>
    <cellStyle name="Normal_Business Performance indicators 2010" xfId="205"/>
    <cellStyle name="Normal_Pokazatelji poslovanja drustava u FBiH i RS" xfId="206"/>
    <cellStyle name="Normal_Spravki_NonLIfe1999" xfId="207"/>
    <cellStyle name="normální_Rezervy_prez_1_12_03" xfId="208"/>
    <cellStyle name="Note" xfId="209" builtinId="10" customBuiltin="1"/>
    <cellStyle name="Obično_01 premija(T.1)" xfId="210"/>
    <cellStyle name="Output" xfId="211" builtinId="21" customBuiltin="1"/>
    <cellStyle name="Standard_0103_s Versicherung" xfId="212"/>
    <cellStyle name="Title" xfId="213" builtinId="15" customBuiltin="1"/>
    <cellStyle name="Total" xfId="214" builtinId="25" customBuiltin="1"/>
    <cellStyle name="Warning Text" xfId="2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8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140625" style="1" customWidth="1"/>
    <col min="2" max="2" width="37.7109375" style="1" customWidth="1"/>
    <col min="3" max="3" width="14.140625" style="1" customWidth="1"/>
    <col min="4" max="4" width="16.140625" style="1" customWidth="1"/>
    <col min="5" max="5" width="17.140625" style="1" customWidth="1"/>
    <col min="6" max="6" width="14" style="1" customWidth="1"/>
    <col min="7" max="7" width="16.140625" style="1" customWidth="1"/>
    <col min="8" max="8" width="17.140625" style="1" customWidth="1"/>
    <col min="9" max="9" width="16.140625" style="1" customWidth="1"/>
    <col min="10" max="10" width="10.28515625" style="1"/>
    <col min="11" max="11" width="12.7109375" style="1" customWidth="1"/>
    <col min="12" max="16384" width="10.28515625" style="1"/>
  </cols>
  <sheetData>
    <row r="2" spans="2:9" x14ac:dyDescent="0.25">
      <c r="B2" s="132" t="s">
        <v>32</v>
      </c>
      <c r="C2" s="133"/>
      <c r="D2" s="133"/>
      <c r="E2" s="133"/>
      <c r="F2" s="133"/>
      <c r="G2" s="133"/>
      <c r="H2" s="133"/>
      <c r="I2" s="134"/>
    </row>
    <row r="3" spans="2:9" ht="16.5" thickBot="1" x14ac:dyDescent="0.3">
      <c r="B3" s="2"/>
    </row>
    <row r="4" spans="2:9" ht="18.75" customHeight="1" x14ac:dyDescent="0.25">
      <c r="B4" s="141" t="s">
        <v>74</v>
      </c>
      <c r="C4" s="140" t="s">
        <v>77</v>
      </c>
      <c r="D4" s="140"/>
      <c r="E4" s="140"/>
      <c r="F4" s="140" t="s">
        <v>78</v>
      </c>
      <c r="G4" s="140"/>
      <c r="H4" s="140"/>
      <c r="I4" s="138" t="s">
        <v>34</v>
      </c>
    </row>
    <row r="5" spans="2:9" ht="90.75" customHeight="1" x14ac:dyDescent="0.25">
      <c r="B5" s="142"/>
      <c r="C5" s="38" t="s">
        <v>33</v>
      </c>
      <c r="D5" s="38" t="s">
        <v>35</v>
      </c>
      <c r="E5" s="38" t="s">
        <v>36</v>
      </c>
      <c r="F5" s="38" t="s">
        <v>33</v>
      </c>
      <c r="G5" s="38" t="s">
        <v>35</v>
      </c>
      <c r="H5" s="38" t="s">
        <v>36</v>
      </c>
      <c r="I5" s="139"/>
    </row>
    <row r="6" spans="2:9" x14ac:dyDescent="0.25">
      <c r="B6" s="135" t="s">
        <v>37</v>
      </c>
      <c r="C6" s="136"/>
      <c r="D6" s="136"/>
      <c r="E6" s="136"/>
      <c r="F6" s="136"/>
      <c r="G6" s="136"/>
      <c r="H6" s="136"/>
      <c r="I6" s="137"/>
    </row>
    <row r="7" spans="2:9" x14ac:dyDescent="0.25">
      <c r="B7" s="39" t="s">
        <v>53</v>
      </c>
      <c r="C7" s="40">
        <v>62704546</v>
      </c>
      <c r="D7" s="41">
        <f t="shared" ref="D7:D22" si="0">C7/C$23</f>
        <v>0.26342190757633988</v>
      </c>
      <c r="E7" s="41">
        <f t="shared" ref="E7:E22" si="1">C7/C$37</f>
        <v>0.18854022194163672</v>
      </c>
      <c r="F7" s="40">
        <v>34960904</v>
      </c>
      <c r="G7" s="42">
        <f t="shared" ref="G7:G16" si="2">F7/F$23</f>
        <v>0.16034835421301424</v>
      </c>
      <c r="H7" s="42">
        <f t="shared" ref="H7:H16" si="3">F7/F$37</f>
        <v>0.11298347800909413</v>
      </c>
      <c r="I7" s="43">
        <f t="shared" ref="I7" si="4">(F7-C7)/C7</f>
        <v>-0.44245024914142589</v>
      </c>
    </row>
    <row r="8" spans="2:9" x14ac:dyDescent="0.25">
      <c r="B8" s="39" t="s">
        <v>73</v>
      </c>
      <c r="C8" s="40">
        <v>29558587</v>
      </c>
      <c r="D8" s="41">
        <f t="shared" si="0"/>
        <v>0.12417567576043373</v>
      </c>
      <c r="E8" s="41">
        <f t="shared" si="1"/>
        <v>8.8876850384359343E-2</v>
      </c>
      <c r="F8" s="40">
        <v>32540786</v>
      </c>
      <c r="G8" s="42">
        <f t="shared" si="2"/>
        <v>0.14924847137527952</v>
      </c>
      <c r="H8" s="42">
        <f t="shared" si="3"/>
        <v>0.1051623602018311</v>
      </c>
      <c r="I8" s="43">
        <f>(F8-C8)/C8</f>
        <v>0.10089112175761311</v>
      </c>
    </row>
    <row r="9" spans="2:9" x14ac:dyDescent="0.25">
      <c r="B9" s="39" t="s">
        <v>85</v>
      </c>
      <c r="C9" s="40">
        <v>21994555</v>
      </c>
      <c r="D9" s="41">
        <f t="shared" si="0"/>
        <v>9.239916407963028E-2</v>
      </c>
      <c r="E9" s="41">
        <f t="shared" si="1"/>
        <v>6.6133295681744281E-2</v>
      </c>
      <c r="F9" s="40">
        <v>22099696</v>
      </c>
      <c r="G9" s="42">
        <f t="shared" si="2"/>
        <v>0.10136036191192122</v>
      </c>
      <c r="H9" s="42">
        <f t="shared" si="3"/>
        <v>7.1419792721139741E-2</v>
      </c>
      <c r="I9" s="43">
        <f>(F9-C9)/C9</f>
        <v>4.7803194927108095E-3</v>
      </c>
    </row>
    <row r="10" spans="2:9" x14ac:dyDescent="0.25">
      <c r="B10" s="39" t="s">
        <v>54</v>
      </c>
      <c r="C10" s="40">
        <v>17894434</v>
      </c>
      <c r="D10" s="41">
        <f t="shared" si="0"/>
        <v>7.5174548577050762E-2</v>
      </c>
      <c r="E10" s="41">
        <f t="shared" si="1"/>
        <v>5.3805039237186568E-2</v>
      </c>
      <c r="F10" s="40">
        <v>19388520</v>
      </c>
      <c r="G10" s="42">
        <f t="shared" si="2"/>
        <v>8.8925540158404121E-2</v>
      </c>
      <c r="H10" s="42">
        <f t="shared" si="3"/>
        <v>6.2658060073300215E-2</v>
      </c>
      <c r="I10" s="43">
        <f>(F10-C10)/C10</f>
        <v>8.3494454197321918E-2</v>
      </c>
    </row>
    <row r="11" spans="2:9" x14ac:dyDescent="0.25">
      <c r="B11" s="39" t="s">
        <v>55</v>
      </c>
      <c r="C11" s="40">
        <v>19459458</v>
      </c>
      <c r="D11" s="41">
        <f t="shared" si="0"/>
        <v>8.1749217142273345E-2</v>
      </c>
      <c r="E11" s="41">
        <f t="shared" si="1"/>
        <v>5.851075821813554E-2</v>
      </c>
      <c r="F11" s="40">
        <v>18302800</v>
      </c>
      <c r="G11" s="42">
        <f t="shared" si="2"/>
        <v>8.3945880160591874E-2</v>
      </c>
      <c r="H11" s="42">
        <f t="shared" si="3"/>
        <v>5.9149328670243993E-2</v>
      </c>
      <c r="I11" s="43">
        <f t="shared" ref="I11:I22" si="5">(F11-C11)/C11</f>
        <v>-5.9439373902397487E-2</v>
      </c>
    </row>
    <row r="12" spans="2:9" x14ac:dyDescent="0.25">
      <c r="B12" s="39" t="s">
        <v>56</v>
      </c>
      <c r="C12" s="40">
        <v>12861866</v>
      </c>
      <c r="D12" s="41">
        <f t="shared" si="0"/>
        <v>5.4032721594240843E-2</v>
      </c>
      <c r="E12" s="41">
        <f t="shared" si="1"/>
        <v>3.867309828259647E-2</v>
      </c>
      <c r="F12" s="40">
        <v>14185818</v>
      </c>
      <c r="G12" s="42">
        <f t="shared" si="2"/>
        <v>6.5063322431975823E-2</v>
      </c>
      <c r="H12" s="42">
        <f t="shared" si="3"/>
        <v>4.5844439721696315E-2</v>
      </c>
      <c r="I12" s="43">
        <f t="shared" si="5"/>
        <v>0.10293623024839475</v>
      </c>
    </row>
    <row r="13" spans="2:9" x14ac:dyDescent="0.25">
      <c r="B13" s="39" t="s">
        <v>57</v>
      </c>
      <c r="C13" s="40">
        <v>13078680</v>
      </c>
      <c r="D13" s="41">
        <f t="shared" si="0"/>
        <v>5.4943557588002068E-2</v>
      </c>
      <c r="E13" s="41">
        <f t="shared" si="1"/>
        <v>3.9325015285233786E-2</v>
      </c>
      <c r="F13" s="40">
        <v>13183367</v>
      </c>
      <c r="G13" s="42">
        <f t="shared" si="2"/>
        <v>6.0465576102842283E-2</v>
      </c>
      <c r="H13" s="42">
        <f t="shared" si="3"/>
        <v>4.260480951895057E-2</v>
      </c>
      <c r="I13" s="43">
        <f t="shared" si="5"/>
        <v>8.004401055764037E-3</v>
      </c>
    </row>
    <row r="14" spans="2:9" x14ac:dyDescent="0.25">
      <c r="B14" s="39" t="s">
        <v>58</v>
      </c>
      <c r="C14" s="40">
        <v>11637344</v>
      </c>
      <c r="D14" s="41">
        <f t="shared" si="0"/>
        <v>4.8888502527425576E-2</v>
      </c>
      <c r="E14" s="41">
        <f t="shared" si="1"/>
        <v>3.49912017634443E-2</v>
      </c>
      <c r="F14" s="40">
        <v>12089386</v>
      </c>
      <c r="G14" s="42">
        <f t="shared" si="2"/>
        <v>5.5448026988828877E-2</v>
      </c>
      <c r="H14" s="42">
        <f t="shared" si="3"/>
        <v>3.9069380965505079E-2</v>
      </c>
      <c r="I14" s="43">
        <f t="shared" si="5"/>
        <v>3.8844086760690413E-2</v>
      </c>
    </row>
    <row r="15" spans="2:9" x14ac:dyDescent="0.25">
      <c r="B15" s="39" t="s">
        <v>60</v>
      </c>
      <c r="C15" s="40">
        <v>7978374</v>
      </c>
      <c r="D15" s="41">
        <f t="shared" si="0"/>
        <v>3.3517163148545449E-2</v>
      </c>
      <c r="E15" s="41">
        <f t="shared" si="1"/>
        <v>2.3989399503719935E-2</v>
      </c>
      <c r="F15" s="40">
        <v>8449299</v>
      </c>
      <c r="G15" s="42">
        <f t="shared" si="2"/>
        <v>3.8752750469600764E-2</v>
      </c>
      <c r="H15" s="42">
        <f t="shared" si="3"/>
        <v>2.7305678015613125E-2</v>
      </c>
      <c r="I15" s="43">
        <f>(F15-C15)/C15</f>
        <v>5.9025184830894112E-2</v>
      </c>
    </row>
    <row r="16" spans="2:9" x14ac:dyDescent="0.25">
      <c r="B16" s="39" t="s">
        <v>59</v>
      </c>
      <c r="C16" s="40">
        <v>5728630</v>
      </c>
      <c r="D16" s="41">
        <f t="shared" si="0"/>
        <v>2.4065984663999448E-2</v>
      </c>
      <c r="E16" s="41">
        <f t="shared" si="1"/>
        <v>1.722486231893806E-2</v>
      </c>
      <c r="F16" s="40">
        <v>8198774</v>
      </c>
      <c r="G16" s="42">
        <f t="shared" si="2"/>
        <v>3.7603716353114089E-2</v>
      </c>
      <c r="H16" s="42">
        <f t="shared" si="3"/>
        <v>2.6496054047416298E-2</v>
      </c>
      <c r="I16" s="43">
        <f t="shared" si="5"/>
        <v>0.43119279827812235</v>
      </c>
    </row>
    <row r="17" spans="2:9" x14ac:dyDescent="0.25">
      <c r="B17" s="39" t="s">
        <v>76</v>
      </c>
      <c r="C17" s="40">
        <v>8341480</v>
      </c>
      <c r="D17" s="41">
        <f t="shared" si="0"/>
        <v>3.5042572090544878E-2</v>
      </c>
      <c r="E17" s="41">
        <f t="shared" si="1"/>
        <v>2.5081187742300594E-2</v>
      </c>
      <c r="F17" s="40">
        <v>7880393</v>
      </c>
      <c r="G17" s="42">
        <f t="shared" ref="G17:G18" si="6">F17/F$23</f>
        <v>3.6143460366521357E-2</v>
      </c>
      <c r="H17" s="42">
        <f t="shared" ref="H17:H18" si="7">F17/F$37</f>
        <v>2.5467139214092382E-2</v>
      </c>
      <c r="I17" s="43">
        <f t="shared" ref="I17:I18" si="8">(F17-C17)/C17</f>
        <v>-5.5276401789610477E-2</v>
      </c>
    </row>
    <row r="18" spans="2:9" x14ac:dyDescent="0.25">
      <c r="B18" s="39" t="s">
        <v>62</v>
      </c>
      <c r="C18" s="40">
        <v>6416959</v>
      </c>
      <c r="D18" s="41">
        <f t="shared" si="0"/>
        <v>2.695765599864422E-2</v>
      </c>
      <c r="E18" s="41">
        <f t="shared" si="1"/>
        <v>1.9294532075080858E-2</v>
      </c>
      <c r="F18" s="40">
        <v>6704965</v>
      </c>
      <c r="G18" s="42">
        <f t="shared" si="6"/>
        <v>3.0752354195585536E-2</v>
      </c>
      <c r="H18" s="42">
        <f t="shared" si="7"/>
        <v>2.1668497634650574E-2</v>
      </c>
      <c r="I18" s="43">
        <f t="shared" si="8"/>
        <v>4.4882007193750184E-2</v>
      </c>
    </row>
    <row r="19" spans="2:9" x14ac:dyDescent="0.25">
      <c r="B19" s="39" t="s">
        <v>61</v>
      </c>
      <c r="C19" s="40">
        <v>6645964</v>
      </c>
      <c r="D19" s="41">
        <f t="shared" si="0"/>
        <v>2.7919706404758628E-2</v>
      </c>
      <c r="E19" s="41">
        <f t="shared" si="1"/>
        <v>1.9983105014046793E-2</v>
      </c>
      <c r="F19" s="40">
        <v>6674173</v>
      </c>
      <c r="G19" s="42">
        <f>F19/F$23</f>
        <v>3.0611126539603666E-2</v>
      </c>
      <c r="H19" s="42">
        <f>F19/F$37</f>
        <v>2.1568986842399433E-2</v>
      </c>
      <c r="I19" s="43">
        <f t="shared" si="5"/>
        <v>4.2445309664632547E-3</v>
      </c>
    </row>
    <row r="20" spans="2:9" x14ac:dyDescent="0.25">
      <c r="B20" s="39" t="s">
        <v>63</v>
      </c>
      <c r="C20" s="40">
        <v>5260943</v>
      </c>
      <c r="D20" s="41">
        <f t="shared" si="0"/>
        <v>2.2101230757820847E-2</v>
      </c>
      <c r="E20" s="41">
        <f t="shared" si="1"/>
        <v>1.5818619607616647E-2</v>
      </c>
      <c r="F20" s="40">
        <v>5339267</v>
      </c>
      <c r="G20" s="42">
        <f>F20/F$23</f>
        <v>2.4488573755239794E-2</v>
      </c>
      <c r="H20" s="42">
        <f>F20/F$37</f>
        <v>1.7254958729876719E-2</v>
      </c>
      <c r="I20" s="43">
        <f>(F20-C20)/C20</f>
        <v>1.4887825243497221E-2</v>
      </c>
    </row>
    <row r="21" spans="2:9" x14ac:dyDescent="0.25">
      <c r="B21" s="39" t="s">
        <v>64</v>
      </c>
      <c r="C21" s="40">
        <v>5015845</v>
      </c>
      <c r="D21" s="41">
        <f t="shared" si="0"/>
        <v>2.1071573630518696E-2</v>
      </c>
      <c r="E21" s="41">
        <f t="shared" si="1"/>
        <v>1.5081658186710239E-2</v>
      </c>
      <c r="F21" s="40">
        <v>5029321</v>
      </c>
      <c r="G21" s="42">
        <f>F21/F$23</f>
        <v>2.3067004936684447E-2</v>
      </c>
      <c r="H21" s="42">
        <f>F21/F$37</f>
        <v>1.6253303364357378E-2</v>
      </c>
      <c r="I21" s="43">
        <f t="shared" si="5"/>
        <v>2.6866858924069624E-3</v>
      </c>
    </row>
    <row r="22" spans="2:9" x14ac:dyDescent="0.25">
      <c r="B22" s="39" t="s">
        <v>86</v>
      </c>
      <c r="C22" s="40">
        <v>3460798</v>
      </c>
      <c r="D22" s="41">
        <f t="shared" si="0"/>
        <v>1.4538818459771351E-2</v>
      </c>
      <c r="E22" s="41">
        <f t="shared" si="1"/>
        <v>1.0405938080074329E-2</v>
      </c>
      <c r="F22" s="40">
        <v>3003481</v>
      </c>
      <c r="G22" s="42">
        <f>F22/F$23</f>
        <v>1.3775480040792374E-2</v>
      </c>
      <c r="H22" s="42">
        <f>F22/F$37</f>
        <v>9.7063774298923166E-3</v>
      </c>
      <c r="I22" s="43">
        <f t="shared" si="5"/>
        <v>-0.13214206665630296</v>
      </c>
    </row>
    <row r="23" spans="2:9" s="5" customFormat="1" ht="28.5" customHeight="1" x14ac:dyDescent="0.25">
      <c r="B23" s="44" t="s">
        <v>39</v>
      </c>
      <c r="C23" s="45">
        <f t="shared" ref="C23:H23" si="9">SUM(C7:C22)</f>
        <v>238038463</v>
      </c>
      <c r="D23" s="46">
        <f t="shared" si="9"/>
        <v>1.0000000000000002</v>
      </c>
      <c r="E23" s="46">
        <f t="shared" si="9"/>
        <v>0.71573478332282425</v>
      </c>
      <c r="F23" s="47">
        <f t="shared" si="9"/>
        <v>218030950</v>
      </c>
      <c r="G23" s="48">
        <f t="shared" si="9"/>
        <v>1.0000000000000002</v>
      </c>
      <c r="H23" s="48">
        <f t="shared" si="9"/>
        <v>0.70461264516005939</v>
      </c>
      <c r="I23" s="49">
        <f>(F23-C23)/C23</f>
        <v>-8.405159715722077E-2</v>
      </c>
    </row>
    <row r="24" spans="2:9" x14ac:dyDescent="0.25">
      <c r="B24" s="135" t="s">
        <v>38</v>
      </c>
      <c r="C24" s="136"/>
      <c r="D24" s="136"/>
      <c r="E24" s="136"/>
      <c r="F24" s="136"/>
      <c r="G24" s="136"/>
      <c r="H24" s="136"/>
      <c r="I24" s="137"/>
    </row>
    <row r="25" spans="2:9" x14ac:dyDescent="0.25">
      <c r="B25" s="50" t="s">
        <v>65</v>
      </c>
      <c r="C25" s="51">
        <v>16785805</v>
      </c>
      <c r="D25" s="41">
        <f t="shared" ref="D25:D35" si="10">C25/C$36</f>
        <v>0.17755112896740971</v>
      </c>
      <c r="E25" s="41">
        <f t="shared" ref="E25:E35" si="11">C25/C$37</f>
        <v>5.0471610147197865E-2</v>
      </c>
      <c r="F25" s="51">
        <v>20224454</v>
      </c>
      <c r="G25" s="42">
        <f t="shared" ref="G25:G35" si="12">F25/F$36</f>
        <v>0.22126727725611628</v>
      </c>
      <c r="H25" s="42">
        <f t="shared" ref="H25:H35" si="13">F25/F$37</f>
        <v>6.535955574131995E-2</v>
      </c>
      <c r="I25" s="43">
        <f>(F25-C25)/C25</f>
        <v>0.20485457801994006</v>
      </c>
    </row>
    <row r="26" spans="2:9" x14ac:dyDescent="0.25">
      <c r="B26" s="50" t="s">
        <v>66</v>
      </c>
      <c r="C26" s="51">
        <v>13379849</v>
      </c>
      <c r="D26" s="41">
        <f t="shared" si="10"/>
        <v>0.14152477616435244</v>
      </c>
      <c r="E26" s="41">
        <f t="shared" si="11"/>
        <v>4.0230571161548413E-2</v>
      </c>
      <c r="F26" s="51">
        <v>13985963</v>
      </c>
      <c r="G26" s="42">
        <f t="shared" si="12"/>
        <v>0.15301456112559497</v>
      </c>
      <c r="H26" s="42">
        <f t="shared" si="13"/>
        <v>4.5198566462883914E-2</v>
      </c>
      <c r="I26" s="43">
        <f>(F26-C26)/C26</f>
        <v>4.5300511238953442E-2</v>
      </c>
    </row>
    <row r="27" spans="2:9" x14ac:dyDescent="0.25">
      <c r="B27" s="50" t="s">
        <v>67</v>
      </c>
      <c r="C27" s="51">
        <v>10404572</v>
      </c>
      <c r="D27" s="41">
        <f t="shared" si="10"/>
        <v>0.11005391192276451</v>
      </c>
      <c r="E27" s="41">
        <f t="shared" si="11"/>
        <v>3.1284499118895449E-2</v>
      </c>
      <c r="F27" s="51">
        <v>10959128</v>
      </c>
      <c r="G27" s="42">
        <f t="shared" si="12"/>
        <v>0.11989922762123849</v>
      </c>
      <c r="H27" s="42">
        <f t="shared" si="13"/>
        <v>3.5416715694389582E-2</v>
      </c>
      <c r="I27" s="43">
        <f>(F27-C27)/C27</f>
        <v>5.3299261132509823E-2</v>
      </c>
    </row>
    <row r="28" spans="2:9" x14ac:dyDescent="0.25">
      <c r="B28" s="50" t="s">
        <v>69</v>
      </c>
      <c r="C28" s="51">
        <v>8815995</v>
      </c>
      <c r="D28" s="41">
        <f t="shared" si="10"/>
        <v>9.325080716838062E-2</v>
      </c>
      <c r="E28" s="41">
        <f t="shared" si="11"/>
        <v>2.6507960905041233E-2</v>
      </c>
      <c r="F28" s="51">
        <v>9043845</v>
      </c>
      <c r="G28" s="42">
        <f t="shared" si="12"/>
        <v>9.8944918813449356E-2</v>
      </c>
      <c r="H28" s="42">
        <f t="shared" si="13"/>
        <v>2.9227077843157482E-2</v>
      </c>
      <c r="I28" s="43">
        <f>(F28-C28)/C28</f>
        <v>2.5845069104508341E-2</v>
      </c>
    </row>
    <row r="29" spans="2:9" x14ac:dyDescent="0.25">
      <c r="B29" s="50" t="s">
        <v>70</v>
      </c>
      <c r="C29" s="51">
        <v>10076646</v>
      </c>
      <c r="D29" s="41">
        <f t="shared" si="10"/>
        <v>0.10658528879043533</v>
      </c>
      <c r="E29" s="41">
        <f t="shared" si="11"/>
        <v>3.0298490212612429E-2</v>
      </c>
      <c r="F29" s="51">
        <v>8852563</v>
      </c>
      <c r="G29" s="42">
        <f t="shared" si="12"/>
        <v>9.6852182597771813E-2</v>
      </c>
      <c r="H29" s="42">
        <f t="shared" si="13"/>
        <v>2.8608910028030749E-2</v>
      </c>
      <c r="I29" s="43">
        <f t="shared" ref="I29:I33" si="14">(F29-C29)/C29</f>
        <v>-0.12147722565623521</v>
      </c>
    </row>
    <row r="30" spans="2:9" x14ac:dyDescent="0.25">
      <c r="B30" s="50" t="s">
        <v>68</v>
      </c>
      <c r="C30" s="51">
        <v>7194061</v>
      </c>
      <c r="D30" s="41">
        <f t="shared" si="10"/>
        <v>7.6094870184087837E-2</v>
      </c>
      <c r="E30" s="41">
        <f t="shared" si="11"/>
        <v>2.1631124760901274E-2</v>
      </c>
      <c r="F30" s="51">
        <v>7941991</v>
      </c>
      <c r="G30" s="42">
        <f t="shared" si="12"/>
        <v>8.6889995871462358E-2</v>
      </c>
      <c r="H30" s="42">
        <f t="shared" si="13"/>
        <v>2.5666206042524627E-2</v>
      </c>
      <c r="I30" s="43">
        <f>(F30-C30)/C30</f>
        <v>0.10396492328880726</v>
      </c>
    </row>
    <row r="31" spans="2:9" x14ac:dyDescent="0.25">
      <c r="B31" s="131" t="s">
        <v>84</v>
      </c>
      <c r="C31" s="51">
        <v>7460693</v>
      </c>
      <c r="D31" s="41">
        <f t="shared" si="10"/>
        <v>7.8915158673012756E-2</v>
      </c>
      <c r="E31" s="41">
        <f t="shared" si="11"/>
        <v>2.2432834679297662E-2</v>
      </c>
      <c r="F31" s="51">
        <v>7672284</v>
      </c>
      <c r="G31" s="42">
        <f t="shared" si="12"/>
        <v>8.3939244590517242E-2</v>
      </c>
      <c r="H31" s="42">
        <f t="shared" si="13"/>
        <v>2.4794591426855687E-2</v>
      </c>
      <c r="I31" s="43">
        <f>(F31-C31)/C31</f>
        <v>2.8360770239440225E-2</v>
      </c>
    </row>
    <row r="32" spans="2:9" x14ac:dyDescent="0.25">
      <c r="B32" s="50" t="s">
        <v>71</v>
      </c>
      <c r="C32" s="51">
        <v>2639445</v>
      </c>
      <c r="D32" s="41">
        <f t="shared" si="10"/>
        <v>2.7918615734984695E-2</v>
      </c>
      <c r="E32" s="41">
        <f t="shared" si="11"/>
        <v>7.9362913512322272E-3</v>
      </c>
      <c r="F32" s="51">
        <v>5335821</v>
      </c>
      <c r="G32" s="42">
        <f t="shared" si="12"/>
        <v>5.8376981875308362E-2</v>
      </c>
      <c r="H32" s="42">
        <f t="shared" si="13"/>
        <v>1.7243822259686493E-2</v>
      </c>
      <c r="I32" s="43">
        <f t="shared" si="14"/>
        <v>1.0215693071838967</v>
      </c>
    </row>
    <row r="33" spans="2:9" x14ac:dyDescent="0.25">
      <c r="B33" s="52" t="s">
        <v>87</v>
      </c>
      <c r="C33" s="51">
        <v>10687757</v>
      </c>
      <c r="D33" s="41">
        <f t="shared" si="10"/>
        <v>0.11304928905580257</v>
      </c>
      <c r="E33" s="41">
        <f t="shared" si="11"/>
        <v>3.2135980648648366E-2</v>
      </c>
      <c r="F33" s="51">
        <v>4690978</v>
      </c>
      <c r="G33" s="42">
        <f t="shared" si="12"/>
        <v>5.1322024798708628E-2</v>
      </c>
      <c r="H33" s="42">
        <f t="shared" si="13"/>
        <v>1.5159877150320378E-2</v>
      </c>
      <c r="I33" s="43">
        <f t="shared" si="14"/>
        <v>-0.56108863627793937</v>
      </c>
    </row>
    <row r="34" spans="2:9" x14ac:dyDescent="0.25">
      <c r="B34" s="50" t="s">
        <v>72</v>
      </c>
      <c r="C34" s="51">
        <v>2035642</v>
      </c>
      <c r="D34" s="41">
        <f t="shared" si="10"/>
        <v>2.1531915524663599E-2</v>
      </c>
      <c r="E34" s="41">
        <f t="shared" si="11"/>
        <v>6.1207746320931381E-3</v>
      </c>
      <c r="F34" s="51">
        <v>2040397</v>
      </c>
      <c r="G34" s="42">
        <f t="shared" si="12"/>
        <v>2.2323128659569643E-2</v>
      </c>
      <c r="H34" s="42">
        <f t="shared" si="13"/>
        <v>6.5939699265019471E-3</v>
      </c>
      <c r="I34" s="43">
        <f>(F34-C34)/C34</f>
        <v>2.335872417645146E-3</v>
      </c>
    </row>
    <row r="35" spans="2:9" x14ac:dyDescent="0.25">
      <c r="B35" s="53" t="s">
        <v>81</v>
      </c>
      <c r="C35" s="51">
        <v>5060218</v>
      </c>
      <c r="D35" s="41">
        <f t="shared" si="10"/>
        <v>5.352423781410591E-2</v>
      </c>
      <c r="E35" s="41">
        <f t="shared" si="11"/>
        <v>1.521507905970749E-2</v>
      </c>
      <c r="F35" s="51">
        <v>655400</v>
      </c>
      <c r="G35" s="42">
        <f t="shared" si="12"/>
        <v>7.1704567902628477E-3</v>
      </c>
      <c r="H35" s="42">
        <f t="shared" si="13"/>
        <v>2.1180622642698339E-3</v>
      </c>
      <c r="I35" s="43">
        <f>(F35-C35)/C35</f>
        <v>-0.87047988841587454</v>
      </c>
    </row>
    <row r="36" spans="2:9" s="5" customFormat="1" ht="27" customHeight="1" x14ac:dyDescent="0.25">
      <c r="B36" s="44" t="s">
        <v>40</v>
      </c>
      <c r="C36" s="54">
        <f t="shared" ref="C36:H36" si="15">SUM(C25:C35)</f>
        <v>94540683</v>
      </c>
      <c r="D36" s="46">
        <f t="shared" si="15"/>
        <v>1</v>
      </c>
      <c r="E36" s="46">
        <f t="shared" si="15"/>
        <v>0.28426521667717553</v>
      </c>
      <c r="F36" s="55">
        <f t="shared" si="15"/>
        <v>91402824</v>
      </c>
      <c r="G36" s="48">
        <f t="shared" si="15"/>
        <v>1.0000000000000002</v>
      </c>
      <c r="H36" s="48">
        <f t="shared" si="15"/>
        <v>0.29538735483994066</v>
      </c>
      <c r="I36" s="49">
        <f>(F36-C36)/C36</f>
        <v>-3.319056833976966E-2</v>
      </c>
    </row>
    <row r="37" spans="2:9" ht="30" customHeight="1" thickBot="1" x14ac:dyDescent="0.3">
      <c r="B37" s="56" t="s">
        <v>75</v>
      </c>
      <c r="C37" s="57">
        <f>C23+C36</f>
        <v>332579146</v>
      </c>
      <c r="D37" s="58"/>
      <c r="E37" s="59">
        <f>E23+E36</f>
        <v>0.99999999999999978</v>
      </c>
      <c r="F37" s="60">
        <f>F23+F36</f>
        <v>309433774</v>
      </c>
      <c r="G37" s="61"/>
      <c r="H37" s="62">
        <f>H23+H36</f>
        <v>1</v>
      </c>
      <c r="I37" s="63">
        <f>(F37-C37)/C37</f>
        <v>-6.9593575780003955E-2</v>
      </c>
    </row>
    <row r="38" spans="2:9" x14ac:dyDescent="0.25">
      <c r="D38" s="12"/>
      <c r="E38" s="4"/>
      <c r="F38" s="4"/>
      <c r="G38" s="12"/>
    </row>
  </sheetData>
  <mergeCells count="7">
    <mergeCell ref="B2:I2"/>
    <mergeCell ref="B6:I6"/>
    <mergeCell ref="B24:I24"/>
    <mergeCell ref="I4:I5"/>
    <mergeCell ref="C4:E4"/>
    <mergeCell ref="F4:H4"/>
    <mergeCell ref="B4:B5"/>
  </mergeCells>
  <phoneticPr fontId="3" type="noConversion"/>
  <pageMargins left="0.39370078740157483" right="0.39370078740157483" top="0.39370078740157483" bottom="0.39370078740157483" header="0.19685039370078741" footer="0.19685039370078741"/>
  <pageSetup paperSize="9" scale="75" orientation="landscape" horizontalDpi="200" verticalDpi="200" r:id="rId1"/>
  <headerFooter>
    <oddHeader>&amp;LAgencija za osiguranje u BiH&amp;CStatistika tržišta osiguranja&amp;RGodišnje izvješće</oddHeader>
    <oddFooter>&amp;CU izvješće su uključeni podatci zaključno s 31.12.2009. godine.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7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140625" style="1" customWidth="1"/>
    <col min="2" max="2" width="36.85546875" style="1" customWidth="1"/>
    <col min="3" max="3" width="14.5703125" style="1" customWidth="1"/>
    <col min="4" max="4" width="16.140625" style="1" customWidth="1"/>
    <col min="5" max="5" width="14.140625" style="1" customWidth="1"/>
    <col min="6" max="6" width="14.42578125" style="1" customWidth="1"/>
    <col min="7" max="7" width="16.28515625" style="1" customWidth="1"/>
    <col min="8" max="8" width="15.5703125" style="1" customWidth="1"/>
    <col min="9" max="9" width="20.85546875" style="1" customWidth="1"/>
    <col min="10" max="10" width="13.5703125" style="1" customWidth="1"/>
    <col min="11" max="11" width="12.28515625" style="1" customWidth="1"/>
    <col min="12" max="16384" width="10.28515625" style="1"/>
  </cols>
  <sheetData>
    <row r="2" spans="2:12" x14ac:dyDescent="0.25">
      <c r="B2" s="132" t="s">
        <v>41</v>
      </c>
      <c r="C2" s="133"/>
      <c r="D2" s="133"/>
      <c r="E2" s="133"/>
      <c r="F2" s="133"/>
      <c r="G2" s="133"/>
      <c r="H2" s="133"/>
      <c r="I2" s="134"/>
    </row>
    <row r="3" spans="2:12" ht="16.5" thickBot="1" x14ac:dyDescent="0.3">
      <c r="B3" s="2"/>
    </row>
    <row r="4" spans="2:12" ht="17.25" customHeight="1" x14ac:dyDescent="0.25">
      <c r="B4" s="146" t="s">
        <v>74</v>
      </c>
      <c r="C4" s="150" t="s">
        <v>77</v>
      </c>
      <c r="D4" s="150"/>
      <c r="E4" s="150"/>
      <c r="F4" s="150" t="s">
        <v>78</v>
      </c>
      <c r="G4" s="150"/>
      <c r="H4" s="150"/>
      <c r="I4" s="148" t="s">
        <v>43</v>
      </c>
      <c r="J4" s="3"/>
      <c r="K4" s="3"/>
      <c r="L4" s="4"/>
    </row>
    <row r="5" spans="2:12" ht="92.25" customHeight="1" x14ac:dyDescent="0.25">
      <c r="B5" s="147"/>
      <c r="C5" s="64" t="s">
        <v>42</v>
      </c>
      <c r="D5" s="64" t="s">
        <v>44</v>
      </c>
      <c r="E5" s="64" t="s">
        <v>45</v>
      </c>
      <c r="F5" s="64" t="s">
        <v>42</v>
      </c>
      <c r="G5" s="64" t="s">
        <v>44</v>
      </c>
      <c r="H5" s="64" t="s">
        <v>45</v>
      </c>
      <c r="I5" s="149"/>
      <c r="J5" s="4"/>
      <c r="K5" s="4"/>
      <c r="L5" s="4"/>
    </row>
    <row r="6" spans="2:12" x14ac:dyDescent="0.25">
      <c r="B6" s="143" t="s">
        <v>37</v>
      </c>
      <c r="C6" s="144"/>
      <c r="D6" s="144"/>
      <c r="E6" s="144"/>
      <c r="F6" s="144"/>
      <c r="G6" s="144"/>
      <c r="H6" s="144"/>
      <c r="I6" s="145"/>
      <c r="J6" s="4"/>
      <c r="K6" s="4"/>
    </row>
    <row r="7" spans="2:12" x14ac:dyDescent="0.25">
      <c r="B7" s="65" t="s">
        <v>85</v>
      </c>
      <c r="C7" s="40">
        <v>41177636</v>
      </c>
      <c r="D7" s="66">
        <f t="shared" ref="D7:D21" si="0">C7/C$23</f>
        <v>0.12036851636079338</v>
      </c>
      <c r="E7" s="66">
        <f t="shared" ref="E7:E21" si="1">C7/C$37</f>
        <v>8.859143997749519E-2</v>
      </c>
      <c r="F7" s="40">
        <v>47148568</v>
      </c>
      <c r="G7" s="67">
        <f t="shared" ref="G7:G21" si="2">F7/F$23</f>
        <v>0.13065147558683499</v>
      </c>
      <c r="H7" s="67">
        <f t="shared" ref="H7:H23" si="3">F7/F$37</f>
        <v>9.3801394504427371E-2</v>
      </c>
      <c r="I7" s="68">
        <f t="shared" ref="I7:I32" si="4">(F7-C7)/C7</f>
        <v>0.14500424453701033</v>
      </c>
      <c r="J7" s="4"/>
      <c r="K7" s="4"/>
    </row>
    <row r="8" spans="2:12" x14ac:dyDescent="0.25">
      <c r="B8" s="65" t="s">
        <v>53</v>
      </c>
      <c r="C8" s="40">
        <v>47404717</v>
      </c>
      <c r="D8" s="66">
        <f t="shared" si="0"/>
        <v>0.13857122477340078</v>
      </c>
      <c r="E8" s="66">
        <f t="shared" si="1"/>
        <v>0.10198866541915243</v>
      </c>
      <c r="F8" s="40">
        <v>46884696</v>
      </c>
      <c r="G8" s="67">
        <f t="shared" si="2"/>
        <v>0.12992027063982473</v>
      </c>
      <c r="H8" s="67">
        <f t="shared" si="3"/>
        <v>9.3276424974691657E-2</v>
      </c>
      <c r="I8" s="68">
        <f t="shared" si="4"/>
        <v>-1.0969815514350608E-2</v>
      </c>
      <c r="J8" s="4"/>
      <c r="K8" s="6"/>
    </row>
    <row r="9" spans="2:12" x14ac:dyDescent="0.25">
      <c r="B9" s="65" t="s">
        <v>55</v>
      </c>
      <c r="C9" s="40">
        <v>37895348</v>
      </c>
      <c r="D9" s="66">
        <f t="shared" si="0"/>
        <v>0.11077388745036161</v>
      </c>
      <c r="E9" s="66">
        <f t="shared" si="1"/>
        <v>8.1529776205906831E-2</v>
      </c>
      <c r="F9" s="40">
        <v>35132172</v>
      </c>
      <c r="G9" s="67">
        <f t="shared" si="2"/>
        <v>9.735333027231044E-2</v>
      </c>
      <c r="H9" s="67">
        <f t="shared" si="3"/>
        <v>6.9894948359182335E-2</v>
      </c>
      <c r="I9" s="68">
        <f t="shared" si="4"/>
        <v>-7.2915968471908482E-2</v>
      </c>
      <c r="J9" s="4"/>
      <c r="K9" s="7"/>
    </row>
    <row r="10" spans="2:12" x14ac:dyDescent="0.25">
      <c r="B10" s="65" t="s">
        <v>57</v>
      </c>
      <c r="C10" s="40">
        <v>29729148</v>
      </c>
      <c r="D10" s="66">
        <f t="shared" si="0"/>
        <v>8.690283816755405E-2</v>
      </c>
      <c r="E10" s="66">
        <f t="shared" si="1"/>
        <v>6.3960641903388321E-2</v>
      </c>
      <c r="F10" s="40">
        <v>34343839</v>
      </c>
      <c r="G10" s="67">
        <f t="shared" si="2"/>
        <v>9.5168812818804821E-2</v>
      </c>
      <c r="H10" s="67">
        <f t="shared" si="3"/>
        <v>6.8326571251019513E-2</v>
      </c>
      <c r="I10" s="68">
        <f>(F10-C10)/C10</f>
        <v>0.1552244618648338</v>
      </c>
      <c r="J10" s="4"/>
    </row>
    <row r="11" spans="2:12" x14ac:dyDescent="0.25">
      <c r="B11" s="65" t="s">
        <v>58</v>
      </c>
      <c r="C11" s="40">
        <v>35673247</v>
      </c>
      <c r="D11" s="66">
        <f t="shared" si="0"/>
        <v>0.10427834699306496</v>
      </c>
      <c r="E11" s="66">
        <f t="shared" si="1"/>
        <v>7.6749046992470871E-2</v>
      </c>
      <c r="F11" s="40">
        <v>30668225</v>
      </c>
      <c r="G11" s="67">
        <f t="shared" si="2"/>
        <v>8.4983468636397649E-2</v>
      </c>
      <c r="H11" s="67">
        <f t="shared" si="3"/>
        <v>6.1013990328943647E-2</v>
      </c>
      <c r="I11" s="68">
        <f t="shared" si="4"/>
        <v>-0.14030183459330181</v>
      </c>
      <c r="J11" s="4"/>
      <c r="K11" s="9" t="s">
        <v>0</v>
      </c>
    </row>
    <row r="12" spans="2:12" x14ac:dyDescent="0.25">
      <c r="B12" s="65" t="s">
        <v>73</v>
      </c>
      <c r="C12" s="40">
        <v>29036987</v>
      </c>
      <c r="D12" s="66">
        <f t="shared" si="0"/>
        <v>8.4879545896652364E-2</v>
      </c>
      <c r="E12" s="66">
        <f t="shared" si="1"/>
        <v>6.247149522954179E-2</v>
      </c>
      <c r="F12" s="40">
        <v>30038195</v>
      </c>
      <c r="G12" s="67">
        <f t="shared" si="2"/>
        <v>8.32376181757013E-2</v>
      </c>
      <c r="H12" s="67">
        <f t="shared" si="3"/>
        <v>5.976055475101423E-2</v>
      </c>
      <c r="I12" s="68">
        <f t="shared" si="4"/>
        <v>3.4480436968201966E-2</v>
      </c>
      <c r="J12" s="4"/>
    </row>
    <row r="13" spans="2:12" x14ac:dyDescent="0.25">
      <c r="B13" s="65" t="s">
        <v>54</v>
      </c>
      <c r="C13" s="40">
        <v>21837640</v>
      </c>
      <c r="D13" s="66">
        <f t="shared" si="0"/>
        <v>6.3834755536260404E-2</v>
      </c>
      <c r="E13" s="66">
        <f t="shared" si="1"/>
        <v>4.6982492470188139E-2</v>
      </c>
      <c r="F13" s="40">
        <v>29547036</v>
      </c>
      <c r="G13" s="67">
        <f t="shared" si="2"/>
        <v>8.1876587484424432E-2</v>
      </c>
      <c r="H13" s="67">
        <f t="shared" si="3"/>
        <v>5.878340102020739E-2</v>
      </c>
      <c r="I13" s="68">
        <f t="shared" si="4"/>
        <v>0.35303247054168857</v>
      </c>
      <c r="J13" s="4"/>
    </row>
    <row r="14" spans="2:12" x14ac:dyDescent="0.25">
      <c r="B14" s="65" t="s">
        <v>56</v>
      </c>
      <c r="C14" s="40">
        <v>19708674</v>
      </c>
      <c r="D14" s="66">
        <f t="shared" si="0"/>
        <v>5.7611462902303158E-2</v>
      </c>
      <c r="E14" s="66">
        <f t="shared" si="1"/>
        <v>4.2402138134083757E-2</v>
      </c>
      <c r="F14" s="40">
        <v>21237603</v>
      </c>
      <c r="G14" s="67">
        <f t="shared" si="2"/>
        <v>5.8850656288805911E-2</v>
      </c>
      <c r="H14" s="67">
        <f t="shared" si="3"/>
        <v>4.225190417938908E-2</v>
      </c>
      <c r="I14" s="68">
        <f t="shared" si="4"/>
        <v>7.7576451870886895E-2</v>
      </c>
      <c r="J14" s="4"/>
    </row>
    <row r="15" spans="2:12" x14ac:dyDescent="0.25">
      <c r="B15" s="65" t="s">
        <v>60</v>
      </c>
      <c r="C15" s="40">
        <v>21082821</v>
      </c>
      <c r="D15" s="66">
        <f t="shared" si="0"/>
        <v>6.1628304365752763E-2</v>
      </c>
      <c r="E15" s="66">
        <f t="shared" si="1"/>
        <v>4.5358540523739027E-2</v>
      </c>
      <c r="F15" s="40">
        <v>21022633</v>
      </c>
      <c r="G15" s="67">
        <f t="shared" si="2"/>
        <v>5.825496168134929E-2</v>
      </c>
      <c r="H15" s="67">
        <f t="shared" si="3"/>
        <v>4.1824224471775973E-2</v>
      </c>
      <c r="I15" s="68">
        <f t="shared" si="4"/>
        <v>-2.8548361720663472E-3</v>
      </c>
      <c r="J15" s="4"/>
    </row>
    <row r="16" spans="2:12" x14ac:dyDescent="0.25">
      <c r="B16" s="65" t="s">
        <v>59</v>
      </c>
      <c r="C16" s="40">
        <v>15051417</v>
      </c>
      <c r="D16" s="66">
        <f t="shared" si="0"/>
        <v>4.3997589696932182E-2</v>
      </c>
      <c r="E16" s="66">
        <f t="shared" si="1"/>
        <v>3.2382303484633036E-2</v>
      </c>
      <c r="F16" s="40">
        <v>18627347</v>
      </c>
      <c r="G16" s="67">
        <f t="shared" si="2"/>
        <v>5.1617482249259487E-2</v>
      </c>
      <c r="H16" s="67">
        <f t="shared" si="3"/>
        <v>3.7058837598585422E-2</v>
      </c>
      <c r="I16" s="68">
        <f t="shared" si="4"/>
        <v>0.23758095334146945</v>
      </c>
      <c r="J16" s="4"/>
    </row>
    <row r="17" spans="2:12" x14ac:dyDescent="0.25">
      <c r="B17" s="65" t="s">
        <v>63</v>
      </c>
      <c r="C17" s="40">
        <v>13327453</v>
      </c>
      <c r="D17" s="66">
        <f t="shared" si="0"/>
        <v>3.8958179738103588E-2</v>
      </c>
      <c r="E17" s="66">
        <f t="shared" si="1"/>
        <v>2.8673288881916101E-2</v>
      </c>
      <c r="F17" s="40">
        <v>12846083</v>
      </c>
      <c r="G17" s="67">
        <f t="shared" si="2"/>
        <v>3.559725715234778E-2</v>
      </c>
      <c r="H17" s="67">
        <f t="shared" si="3"/>
        <v>2.5557096438636649E-2</v>
      </c>
      <c r="I17" s="68">
        <f>(F17-C17)/C17</f>
        <v>-3.6118679240512049E-2</v>
      </c>
      <c r="J17" s="4"/>
      <c r="L17" s="4"/>
    </row>
    <row r="18" spans="2:12" x14ac:dyDescent="0.25">
      <c r="B18" s="65" t="s">
        <v>79</v>
      </c>
      <c r="C18" s="40">
        <v>9395421</v>
      </c>
      <c r="D18" s="66">
        <f t="shared" si="0"/>
        <v>2.7464249923308898E-2</v>
      </c>
      <c r="E18" s="66">
        <f t="shared" si="1"/>
        <v>2.0213736300568538E-2</v>
      </c>
      <c r="F18" s="40">
        <v>10118782</v>
      </c>
      <c r="G18" s="67">
        <f t="shared" si="2"/>
        <v>2.8039744482621514E-2</v>
      </c>
      <c r="H18" s="67">
        <f t="shared" si="3"/>
        <v>2.0131170522216042E-2</v>
      </c>
      <c r="I18" s="68">
        <f>(F18-C18)/C18</f>
        <v>7.6990802221635415E-2</v>
      </c>
      <c r="J18" s="4"/>
    </row>
    <row r="19" spans="2:12" x14ac:dyDescent="0.25">
      <c r="B19" s="65" t="s">
        <v>76</v>
      </c>
      <c r="C19" s="40">
        <v>9629364</v>
      </c>
      <c r="D19" s="66">
        <f t="shared" si="0"/>
        <v>2.8148101026927209E-2</v>
      </c>
      <c r="E19" s="66">
        <f t="shared" si="1"/>
        <v>2.0717051916905892E-2</v>
      </c>
      <c r="F19" s="40">
        <v>8758023</v>
      </c>
      <c r="G19" s="67">
        <f t="shared" ref="G19:G20" si="5">F19/F$23</f>
        <v>2.4269000665586266E-2</v>
      </c>
      <c r="H19" s="67">
        <f t="shared" ref="H19:H20" si="6">F19/F$37</f>
        <v>1.7423960161459168E-2</v>
      </c>
      <c r="I19" s="68">
        <f t="shared" ref="I19:I20" si="7">(F19-C19)/C19</f>
        <v>-9.0487907612589985E-2</v>
      </c>
      <c r="J19" s="4"/>
    </row>
    <row r="20" spans="2:12" x14ac:dyDescent="0.25">
      <c r="B20" s="65" t="s">
        <v>62</v>
      </c>
      <c r="C20" s="40">
        <v>6875289</v>
      </c>
      <c r="D20" s="66">
        <f t="shared" si="0"/>
        <v>2.0097519354478795E-2</v>
      </c>
      <c r="E20" s="66">
        <f t="shared" si="1"/>
        <v>1.479180963111707E-2</v>
      </c>
      <c r="F20" s="40">
        <v>7041238</v>
      </c>
      <c r="G20" s="67">
        <f t="shared" si="5"/>
        <v>1.9511687707208725E-2</v>
      </c>
      <c r="H20" s="67">
        <f t="shared" si="6"/>
        <v>1.4008441220050738E-2</v>
      </c>
      <c r="I20" s="68">
        <f t="shared" si="7"/>
        <v>2.4137021731013779E-2</v>
      </c>
      <c r="J20" s="4"/>
    </row>
    <row r="21" spans="2:12" x14ac:dyDescent="0.25">
      <c r="B21" s="65" t="s">
        <v>64</v>
      </c>
      <c r="C21" s="40">
        <v>2677711</v>
      </c>
      <c r="D21" s="66">
        <f t="shared" si="0"/>
        <v>7.8273580424329456E-3</v>
      </c>
      <c r="E21" s="66">
        <f t="shared" si="1"/>
        <v>5.7609493010618339E-3</v>
      </c>
      <c r="F21" s="40">
        <v>6700607</v>
      </c>
      <c r="G21" s="67">
        <f t="shared" si="2"/>
        <v>1.856777902305486E-2</v>
      </c>
      <c r="H21" s="67">
        <f t="shared" si="3"/>
        <v>1.3330760769364777E-2</v>
      </c>
      <c r="I21" s="68">
        <f t="shared" si="4"/>
        <v>1.5023637726401393</v>
      </c>
      <c r="J21" s="4"/>
      <c r="K21" s="5"/>
      <c r="L21" s="4"/>
    </row>
    <row r="22" spans="2:12" x14ac:dyDescent="0.25">
      <c r="B22" s="65" t="s">
        <v>86</v>
      </c>
      <c r="C22" s="40">
        <v>1593526</v>
      </c>
      <c r="D22" s="66">
        <f>C22/C$23</f>
        <v>4.6581197716728962E-3</v>
      </c>
      <c r="E22" s="66">
        <f>C22/C$37</f>
        <v>3.4283843536228745E-3</v>
      </c>
      <c r="F22" s="40">
        <v>757785</v>
      </c>
      <c r="G22" s="67">
        <f>F22/F$23</f>
        <v>2.0998671354678206E-3</v>
      </c>
      <c r="H22" s="67">
        <f>F22/F$37</f>
        <v>1.5076023037335405E-3</v>
      </c>
      <c r="I22" s="68">
        <f>(F22-C22)/C22</f>
        <v>-0.52446022217397148</v>
      </c>
      <c r="J22" s="4"/>
      <c r="K22" s="5"/>
      <c r="L22" s="4"/>
    </row>
    <row r="23" spans="2:12" s="5" customFormat="1" ht="30" customHeight="1" x14ac:dyDescent="0.25">
      <c r="B23" s="69" t="s">
        <v>39</v>
      </c>
      <c r="C23" s="70">
        <f>SUM(C7:C22)</f>
        <v>342096399</v>
      </c>
      <c r="D23" s="71">
        <f>SUM(D7:D22)</f>
        <v>0.99999999999999978</v>
      </c>
      <c r="E23" s="71">
        <f>C23/C$37</f>
        <v>0.73600176072579171</v>
      </c>
      <c r="F23" s="72">
        <f>SUM(F7:F22)</f>
        <v>360872832</v>
      </c>
      <c r="G23" s="73">
        <f>SUM(G7:G22)</f>
        <v>0.99999999999999967</v>
      </c>
      <c r="H23" s="73">
        <f t="shared" si="3"/>
        <v>0.71795128285469756</v>
      </c>
      <c r="I23" s="74">
        <f>(F23-C23)/C23</f>
        <v>5.4886380139885657E-2</v>
      </c>
      <c r="J23" s="6"/>
      <c r="K23" s="1"/>
      <c r="L23" s="6"/>
    </row>
    <row r="24" spans="2:12" x14ac:dyDescent="0.25">
      <c r="B24" s="143" t="s">
        <v>38</v>
      </c>
      <c r="C24" s="144"/>
      <c r="D24" s="144"/>
      <c r="E24" s="144"/>
      <c r="F24" s="144"/>
      <c r="G24" s="144"/>
      <c r="H24" s="144"/>
      <c r="I24" s="145"/>
      <c r="J24" s="7"/>
      <c r="L24" s="4"/>
    </row>
    <row r="25" spans="2:12" x14ac:dyDescent="0.25">
      <c r="B25" s="75" t="s">
        <v>87</v>
      </c>
      <c r="C25" s="40">
        <v>20679587</v>
      </c>
      <c r="D25" s="66">
        <f t="shared" ref="D25:D35" si="8">C25/C$36</f>
        <v>0.16852765635227202</v>
      </c>
      <c r="E25" s="66">
        <f t="shared" ref="E25:E35" si="9">C25/C$37</f>
        <v>4.4491004546008663E-2</v>
      </c>
      <c r="F25" s="40">
        <v>25001938</v>
      </c>
      <c r="G25" s="67">
        <f t="shared" ref="G25:G35" si="10">F25/F$36</f>
        <v>0.17635603789284302</v>
      </c>
      <c r="H25" s="67">
        <f t="shared" ref="H25:H35" si="11">F25/F$37</f>
        <v>4.974099424850472E-2</v>
      </c>
      <c r="I25" s="68">
        <f>(F25-C25)/C25</f>
        <v>0.20901534445538009</v>
      </c>
      <c r="J25" s="8" t="s">
        <v>0</v>
      </c>
    </row>
    <row r="26" spans="2:12" x14ac:dyDescent="0.25">
      <c r="B26" s="75" t="s">
        <v>65</v>
      </c>
      <c r="C26" s="40">
        <v>22102971</v>
      </c>
      <c r="D26" s="66">
        <f t="shared" si="8"/>
        <v>0.18012748035307641</v>
      </c>
      <c r="E26" s="66">
        <f t="shared" si="9"/>
        <v>4.7553337658111719E-2</v>
      </c>
      <c r="F26" s="40">
        <v>24897340</v>
      </c>
      <c r="G26" s="67">
        <f t="shared" si="10"/>
        <v>0.17561823553322131</v>
      </c>
      <c r="H26" s="67">
        <f t="shared" si="11"/>
        <v>4.9532898039466644E-2</v>
      </c>
      <c r="I26" s="68">
        <f t="shared" si="4"/>
        <v>0.12642504032602675</v>
      </c>
    </row>
    <row r="27" spans="2:12" x14ac:dyDescent="0.25">
      <c r="B27" s="75" t="s">
        <v>67</v>
      </c>
      <c r="C27" s="40">
        <v>19410138</v>
      </c>
      <c r="D27" s="66">
        <f t="shared" si="8"/>
        <v>0.15818232088552719</v>
      </c>
      <c r="E27" s="66">
        <f t="shared" si="9"/>
        <v>4.1759854198087004E-2</v>
      </c>
      <c r="F27" s="40">
        <v>23485704</v>
      </c>
      <c r="G27" s="67">
        <f t="shared" si="10"/>
        <v>0.16566098614291799</v>
      </c>
      <c r="H27" s="67">
        <f t="shared" si="11"/>
        <v>4.6724468622635747E-2</v>
      </c>
      <c r="I27" s="68">
        <f>(F27-C27)/C27</f>
        <v>0.20997099556942872</v>
      </c>
    </row>
    <row r="28" spans="2:12" x14ac:dyDescent="0.25">
      <c r="B28" s="75" t="s">
        <v>66</v>
      </c>
      <c r="C28" s="40">
        <v>13731522</v>
      </c>
      <c r="D28" s="66">
        <f t="shared" si="8"/>
        <v>0.11190461496207167</v>
      </c>
      <c r="E28" s="66">
        <f t="shared" si="9"/>
        <v>2.9542621316645149E-2</v>
      </c>
      <c r="F28" s="40">
        <v>14195644</v>
      </c>
      <c r="G28" s="67">
        <f t="shared" si="10"/>
        <v>0.10013173903468241</v>
      </c>
      <c r="H28" s="67">
        <f t="shared" si="11"/>
        <v>2.824202854026038E-2</v>
      </c>
      <c r="I28" s="68">
        <f t="shared" si="4"/>
        <v>3.3799749219350923E-2</v>
      </c>
    </row>
    <row r="29" spans="2:12" x14ac:dyDescent="0.25">
      <c r="B29" s="75" t="s">
        <v>80</v>
      </c>
      <c r="C29" s="40">
        <v>13176211</v>
      </c>
      <c r="D29" s="66">
        <f t="shared" si="8"/>
        <v>0.10737912509727715</v>
      </c>
      <c r="E29" s="66">
        <f t="shared" si="9"/>
        <v>2.8347899960486121E-2</v>
      </c>
      <c r="F29" s="40">
        <v>12891604</v>
      </c>
      <c r="G29" s="67">
        <f t="shared" si="10"/>
        <v>9.0933438980751277E-2</v>
      </c>
      <c r="H29" s="67">
        <f t="shared" si="11"/>
        <v>2.5647659810131538E-2</v>
      </c>
      <c r="I29" s="68">
        <f>(F29-C29)/C29</f>
        <v>-2.1600063933402403E-2</v>
      </c>
    </row>
    <row r="30" spans="2:12" x14ac:dyDescent="0.25">
      <c r="B30" s="75" t="s">
        <v>81</v>
      </c>
      <c r="C30" s="40">
        <v>9273823</v>
      </c>
      <c r="D30" s="66">
        <f t="shared" si="8"/>
        <v>7.5576734468429968E-2</v>
      </c>
      <c r="E30" s="66">
        <f t="shared" si="9"/>
        <v>1.995212482975988E-2</v>
      </c>
      <c r="F30" s="40">
        <v>9763430</v>
      </c>
      <c r="G30" s="67">
        <f t="shared" si="10"/>
        <v>6.8868254574670176E-2</v>
      </c>
      <c r="H30" s="67">
        <f t="shared" si="11"/>
        <v>1.9424202854821833E-2</v>
      </c>
      <c r="I30" s="68">
        <f t="shared" si="4"/>
        <v>5.2794516349945433E-2</v>
      </c>
    </row>
    <row r="31" spans="2:12" x14ac:dyDescent="0.25">
      <c r="B31" s="130" t="s">
        <v>84</v>
      </c>
      <c r="C31" s="40">
        <v>7275325</v>
      </c>
      <c r="D31" s="66">
        <f t="shared" si="8"/>
        <v>5.9290036665195174E-2</v>
      </c>
      <c r="E31" s="66">
        <f t="shared" si="9"/>
        <v>1.5652465286114779E-2</v>
      </c>
      <c r="F31" s="40">
        <v>9435157</v>
      </c>
      <c r="G31" s="67">
        <f t="shared" si="10"/>
        <v>6.6552717050051197E-2</v>
      </c>
      <c r="H31" s="67">
        <f t="shared" si="11"/>
        <v>1.8771108466501239E-2</v>
      </c>
      <c r="I31" s="68">
        <f>(F31-C31)/C31</f>
        <v>0.29687086143917968</v>
      </c>
    </row>
    <row r="32" spans="2:12" x14ac:dyDescent="0.25">
      <c r="B32" s="75" t="s">
        <v>70</v>
      </c>
      <c r="C32" s="40">
        <v>8254998</v>
      </c>
      <c r="D32" s="66">
        <f t="shared" si="8"/>
        <v>6.7273851558674394E-2</v>
      </c>
      <c r="E32" s="66">
        <f t="shared" si="9"/>
        <v>1.7760178360684494E-2</v>
      </c>
      <c r="F32" s="40">
        <v>9356566</v>
      </c>
      <c r="G32" s="67">
        <f t="shared" si="10"/>
        <v>6.5998360128838279E-2</v>
      </c>
      <c r="H32" s="67">
        <f t="shared" si="11"/>
        <v>1.8614752808032514E-2</v>
      </c>
      <c r="I32" s="68">
        <f t="shared" si="4"/>
        <v>0.13344255201515495</v>
      </c>
    </row>
    <row r="33" spans="2:11" x14ac:dyDescent="0.25">
      <c r="B33" s="75" t="s">
        <v>68</v>
      </c>
      <c r="C33" s="40">
        <v>7416865</v>
      </c>
      <c r="D33" s="66">
        <f t="shared" si="8"/>
        <v>6.044351252910389E-2</v>
      </c>
      <c r="E33" s="66">
        <f t="shared" si="9"/>
        <v>1.5956980883231976E-2</v>
      </c>
      <c r="F33" s="40">
        <v>9347802</v>
      </c>
      <c r="G33" s="67">
        <f t="shared" si="10"/>
        <v>6.5936541548370919E-2</v>
      </c>
      <c r="H33" s="67">
        <f t="shared" si="11"/>
        <v>1.8597316956715952E-2</v>
      </c>
      <c r="I33" s="68">
        <f>(F33-C33)/C33</f>
        <v>0.26034409416916715</v>
      </c>
    </row>
    <row r="34" spans="2:11" x14ac:dyDescent="0.25">
      <c r="B34" s="75" t="s">
        <v>72</v>
      </c>
      <c r="C34" s="40">
        <v>1044078</v>
      </c>
      <c r="D34" s="66">
        <f t="shared" si="8"/>
        <v>8.5086814542750522E-3</v>
      </c>
      <c r="E34" s="66">
        <f t="shared" si="9"/>
        <v>2.2462769224737239E-3</v>
      </c>
      <c r="F34" s="40">
        <v>1907784</v>
      </c>
      <c r="G34" s="67">
        <f t="shared" si="10"/>
        <v>1.3456925914917459E-2</v>
      </c>
      <c r="H34" s="67">
        <f t="shared" si="11"/>
        <v>3.7955086910218452E-3</v>
      </c>
      <c r="I34" s="68">
        <f>(F34-C34)/C34</f>
        <v>0.82724279220518004</v>
      </c>
    </row>
    <row r="35" spans="2:11" x14ac:dyDescent="0.25">
      <c r="B35" s="75" t="s">
        <v>71</v>
      </c>
      <c r="C35" s="40">
        <v>341861</v>
      </c>
      <c r="D35" s="66">
        <f t="shared" si="8"/>
        <v>2.7859856740970728E-3</v>
      </c>
      <c r="E35" s="66">
        <f t="shared" si="9"/>
        <v>7.3549531260479553E-4</v>
      </c>
      <c r="F35" s="40">
        <v>1486705</v>
      </c>
      <c r="G35" s="67">
        <f t="shared" si="10"/>
        <v>1.0486763198736001E-2</v>
      </c>
      <c r="H35" s="67">
        <f t="shared" si="11"/>
        <v>2.9577781072100576E-3</v>
      </c>
      <c r="I35" s="68">
        <f>(F35-C35)/C35</f>
        <v>3.3488581616504955</v>
      </c>
    </row>
    <row r="36" spans="2:11" s="5" customFormat="1" ht="30.75" customHeight="1" x14ac:dyDescent="0.25">
      <c r="B36" s="69" t="s">
        <v>40</v>
      </c>
      <c r="C36" s="70">
        <f>SUM(C25:C35)</f>
        <v>122707379</v>
      </c>
      <c r="D36" s="71">
        <f>SUM(D25:D35)</f>
        <v>0.99999999999999989</v>
      </c>
      <c r="E36" s="71">
        <f>C36/C$37</f>
        <v>0.26399823927420829</v>
      </c>
      <c r="F36" s="72">
        <f>SUM(F25:F35)</f>
        <v>141769674</v>
      </c>
      <c r="G36" s="73">
        <f>SUM(G25:G35)</f>
        <v>1</v>
      </c>
      <c r="H36" s="73">
        <f>F36/F$37</f>
        <v>0.2820487171453025</v>
      </c>
      <c r="I36" s="74">
        <f>(F36-C36)/C36</f>
        <v>0.15534758508695715</v>
      </c>
      <c r="K36" s="1"/>
    </row>
    <row r="37" spans="2:11" ht="30" customHeight="1" thickBot="1" x14ac:dyDescent="0.3">
      <c r="B37" s="76" t="s">
        <v>75</v>
      </c>
      <c r="C37" s="77">
        <f>C23+C36</f>
        <v>464803778</v>
      </c>
      <c r="D37" s="77"/>
      <c r="E37" s="78">
        <f>E23+E36</f>
        <v>1</v>
      </c>
      <c r="F37" s="79">
        <f>F23+F36</f>
        <v>502642506</v>
      </c>
      <c r="G37" s="79"/>
      <c r="H37" s="80">
        <f>H23+H36</f>
        <v>1</v>
      </c>
      <c r="I37" s="81">
        <f>(F37-C37)/C37</f>
        <v>8.1407961361277925E-2</v>
      </c>
    </row>
  </sheetData>
  <mergeCells count="7">
    <mergeCell ref="B2:I2"/>
    <mergeCell ref="B6:I6"/>
    <mergeCell ref="B24:I24"/>
    <mergeCell ref="B4:B5"/>
    <mergeCell ref="I4:I5"/>
    <mergeCell ref="C4:E4"/>
    <mergeCell ref="F4:H4"/>
  </mergeCells>
  <phoneticPr fontId="3" type="noConversion"/>
  <pageMargins left="0.39370078740157483" right="0.39370078740157483" top="0.39370078740157483" bottom="0.39370078740157483" header="0.19685039370078741" footer="0.19685039370078741"/>
  <pageSetup paperSize="9" scale="75" orientation="landscape" r:id="rId1"/>
  <headerFooter>
    <oddHeader>&amp;LAgencija za osiguranje u BiH&amp;CStatistika tržišta osiguranja&amp;RGodišnje izvješće</oddHeader>
    <oddFooter>&amp;CU izvješće su uključeni podatci zaključno s 31.12.2009. godine.</oddFooter>
  </headerFooter>
  <ignoredErrors>
    <ignoredError sqref="E23 E3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0"/>
  <sheetViews>
    <sheetView showGridLines="0" showRuler="0" view="pageLayout" zoomScaleNormal="100" workbookViewId="0">
      <selection activeCell="B2" sqref="B2:E2"/>
    </sheetView>
  </sheetViews>
  <sheetFormatPr defaultColWidth="10.28515625" defaultRowHeight="15.75" x14ac:dyDescent="0.25"/>
  <cols>
    <col min="1" max="1" width="3.140625" style="1" customWidth="1"/>
    <col min="2" max="2" width="37.7109375" style="1" customWidth="1"/>
    <col min="3" max="3" width="14.42578125" style="1" customWidth="1"/>
    <col min="4" max="4" width="14.28515625" style="1" customWidth="1"/>
    <col min="5" max="5" width="13.28515625" style="1" customWidth="1"/>
    <col min="6" max="6" width="11.28515625" style="1" bestFit="1" customWidth="1"/>
    <col min="7" max="7" width="12.140625" style="1" customWidth="1"/>
    <col min="8" max="8" width="11.28515625" style="1" customWidth="1"/>
    <col min="9" max="16384" width="10.28515625" style="1"/>
  </cols>
  <sheetData>
    <row r="2" spans="2:6" x14ac:dyDescent="0.25">
      <c r="B2" s="132" t="s">
        <v>90</v>
      </c>
      <c r="C2" s="133"/>
      <c r="D2" s="133"/>
      <c r="E2" s="134"/>
      <c r="F2" s="11"/>
    </row>
    <row r="3" spans="2:6" ht="16.5" thickBot="1" x14ac:dyDescent="0.3">
      <c r="B3" s="2"/>
      <c r="C3" s="11"/>
      <c r="D3" s="11"/>
      <c r="E3" s="11"/>
      <c r="F3" s="11"/>
    </row>
    <row r="4" spans="2:6" ht="41.25" customHeight="1" x14ac:dyDescent="0.25">
      <c r="B4" s="82" t="s">
        <v>74</v>
      </c>
      <c r="C4" s="83" t="s">
        <v>77</v>
      </c>
      <c r="D4" s="83" t="s">
        <v>78</v>
      </c>
      <c r="E4" s="84" t="s">
        <v>46</v>
      </c>
    </row>
    <row r="5" spans="2:6" x14ac:dyDescent="0.25">
      <c r="B5" s="151" t="s">
        <v>37</v>
      </c>
      <c r="C5" s="152"/>
      <c r="D5" s="152"/>
      <c r="E5" s="153"/>
    </row>
    <row r="6" spans="2:6" x14ac:dyDescent="0.25">
      <c r="B6" s="85" t="s">
        <v>73</v>
      </c>
      <c r="C6" s="86">
        <v>2205865</v>
      </c>
      <c r="D6" s="86">
        <v>3343410</v>
      </c>
      <c r="E6" s="87">
        <f>(D6-C6)/C6</f>
        <v>0.51569112343683765</v>
      </c>
    </row>
    <row r="7" spans="2:6" x14ac:dyDescent="0.25">
      <c r="B7" s="85" t="s">
        <v>85</v>
      </c>
      <c r="C7" s="86">
        <v>3486356</v>
      </c>
      <c r="D7" s="86">
        <v>3141675</v>
      </c>
      <c r="E7" s="87">
        <f>(D7-C7)/C7</f>
        <v>-9.8865692430721366E-2</v>
      </c>
    </row>
    <row r="8" spans="2:6" x14ac:dyDescent="0.25">
      <c r="B8" s="85" t="s">
        <v>54</v>
      </c>
      <c r="C8" s="86">
        <v>2361571</v>
      </c>
      <c r="D8" s="86">
        <v>2127353</v>
      </c>
      <c r="E8" s="87">
        <f>(D8-C8)/C8</f>
        <v>-9.9178894049766028E-2</v>
      </c>
    </row>
    <row r="9" spans="2:6" x14ac:dyDescent="0.25">
      <c r="B9" s="85" t="s">
        <v>57</v>
      </c>
      <c r="C9" s="86">
        <v>1653177</v>
      </c>
      <c r="D9" s="86">
        <v>2001802</v>
      </c>
      <c r="E9" s="87">
        <f t="shared" ref="E9:E16" si="0">(D9-C9)/C9</f>
        <v>0.21088183539935529</v>
      </c>
    </row>
    <row r="10" spans="2:6" x14ac:dyDescent="0.25">
      <c r="B10" s="85" t="s">
        <v>53</v>
      </c>
      <c r="C10" s="86">
        <v>1601039</v>
      </c>
      <c r="D10" s="86">
        <v>1329860</v>
      </c>
      <c r="E10" s="87">
        <f>(D10-C10)/C10</f>
        <v>-0.1693768858847286</v>
      </c>
    </row>
    <row r="11" spans="2:6" x14ac:dyDescent="0.25">
      <c r="B11" s="85" t="s">
        <v>59</v>
      </c>
      <c r="C11" s="86">
        <v>9211</v>
      </c>
      <c r="D11" s="86">
        <v>1254270</v>
      </c>
      <c r="E11" s="87">
        <f>(D11-C11)/C11</f>
        <v>135.17088264032137</v>
      </c>
    </row>
    <row r="12" spans="2:6" x14ac:dyDescent="0.25">
      <c r="B12" s="85" t="s">
        <v>55</v>
      </c>
      <c r="C12" s="86">
        <v>1702439</v>
      </c>
      <c r="D12" s="86">
        <v>1138731</v>
      </c>
      <c r="E12" s="87">
        <f t="shared" si="0"/>
        <v>-0.3311178843999697</v>
      </c>
    </row>
    <row r="13" spans="2:6" x14ac:dyDescent="0.25">
      <c r="B13" s="85" t="s">
        <v>56</v>
      </c>
      <c r="C13" s="86">
        <v>271532</v>
      </c>
      <c r="D13" s="86">
        <v>858065</v>
      </c>
      <c r="E13" s="87">
        <f>(D13-C13)/C13</f>
        <v>2.1600879454355288</v>
      </c>
    </row>
    <row r="14" spans="2:6" x14ac:dyDescent="0.25">
      <c r="B14" s="85" t="s">
        <v>60</v>
      </c>
      <c r="C14" s="86">
        <v>1094372</v>
      </c>
      <c r="D14" s="86">
        <v>772576</v>
      </c>
      <c r="E14" s="87">
        <f>(D14-C14)/C14</f>
        <v>-0.29404626580358417</v>
      </c>
    </row>
    <row r="15" spans="2:6" x14ac:dyDescent="0.25">
      <c r="B15" s="85" t="s">
        <v>58</v>
      </c>
      <c r="C15" s="86">
        <v>1332720</v>
      </c>
      <c r="D15" s="86">
        <v>568917</v>
      </c>
      <c r="E15" s="87">
        <f t="shared" si="0"/>
        <v>-0.57311588330632091</v>
      </c>
    </row>
    <row r="16" spans="2:6" x14ac:dyDescent="0.25">
      <c r="B16" s="85" t="s">
        <v>62</v>
      </c>
      <c r="C16" s="86">
        <v>60053</v>
      </c>
      <c r="D16" s="86">
        <v>321923</v>
      </c>
      <c r="E16" s="87">
        <f t="shared" si="0"/>
        <v>4.3606480941834711</v>
      </c>
    </row>
    <row r="17" spans="2:5" x14ac:dyDescent="0.25">
      <c r="B17" s="85" t="s">
        <v>63</v>
      </c>
      <c r="C17" s="86">
        <v>17857</v>
      </c>
      <c r="D17" s="86">
        <v>98662</v>
      </c>
      <c r="E17" s="87">
        <f>(D17-C17)/C17</f>
        <v>4.5251162009296078</v>
      </c>
    </row>
    <row r="18" spans="2:5" x14ac:dyDescent="0.25">
      <c r="B18" s="85" t="s">
        <v>61</v>
      </c>
      <c r="C18" s="86">
        <v>83099</v>
      </c>
      <c r="D18" s="86">
        <v>71239</v>
      </c>
      <c r="E18" s="43">
        <v>-0.14269999999999999</v>
      </c>
    </row>
    <row r="19" spans="2:5" x14ac:dyDescent="0.25">
      <c r="B19" s="85" t="s">
        <v>64</v>
      </c>
      <c r="C19" s="86">
        <v>10491</v>
      </c>
      <c r="D19" s="86">
        <v>16854</v>
      </c>
      <c r="E19" s="87">
        <f>(D19-C19)/C19</f>
        <v>0.60651987417786679</v>
      </c>
    </row>
    <row r="20" spans="2:5" x14ac:dyDescent="0.25">
      <c r="B20" s="85" t="s">
        <v>76</v>
      </c>
      <c r="C20" s="86">
        <v>-719508</v>
      </c>
      <c r="D20" s="86">
        <v>-461087</v>
      </c>
      <c r="E20" s="87">
        <f t="shared" ref="E20:E21" si="1">(D20-C20)/C20</f>
        <v>-0.35916348393624531</v>
      </c>
    </row>
    <row r="21" spans="2:5" x14ac:dyDescent="0.25">
      <c r="B21" s="85" t="s">
        <v>86</v>
      </c>
      <c r="C21" s="86">
        <v>6417</v>
      </c>
      <c r="D21" s="86">
        <v>-533516</v>
      </c>
      <c r="E21" s="87">
        <f t="shared" si="1"/>
        <v>-84.141031634720278</v>
      </c>
    </row>
    <row r="22" spans="2:5" s="5" customFormat="1" ht="31.5" customHeight="1" x14ac:dyDescent="0.25">
      <c r="B22" s="44" t="s">
        <v>39</v>
      </c>
      <c r="C22" s="45">
        <f>SUM(C6:C21)</f>
        <v>15176691</v>
      </c>
      <c r="D22" s="45">
        <f>SUM(D6:D21)</f>
        <v>16050734</v>
      </c>
      <c r="E22" s="88">
        <f>(D22-C22)/C22</f>
        <v>5.7591144209235071E-2</v>
      </c>
    </row>
    <row r="23" spans="2:5" x14ac:dyDescent="0.25">
      <c r="B23" s="151" t="s">
        <v>38</v>
      </c>
      <c r="C23" s="152"/>
      <c r="D23" s="152"/>
      <c r="E23" s="153"/>
    </row>
    <row r="24" spans="2:5" x14ac:dyDescent="0.25">
      <c r="B24" s="89" t="s">
        <v>66</v>
      </c>
      <c r="C24" s="102">
        <v>4884374</v>
      </c>
      <c r="D24" s="102">
        <v>5468462</v>
      </c>
      <c r="E24" s="87">
        <f t="shared" ref="E24:E34" si="2">(D24-C24)/C24</f>
        <v>0.11958298033688657</v>
      </c>
    </row>
    <row r="25" spans="2:5" x14ac:dyDescent="0.25">
      <c r="B25" s="129" t="s">
        <v>84</v>
      </c>
      <c r="C25" s="102">
        <v>2085489</v>
      </c>
      <c r="D25" s="102">
        <v>2398819</v>
      </c>
      <c r="E25" s="87">
        <f t="shared" si="2"/>
        <v>0.15024294062447704</v>
      </c>
    </row>
    <row r="26" spans="2:5" x14ac:dyDescent="0.25">
      <c r="B26" s="89" t="s">
        <v>69</v>
      </c>
      <c r="C26" s="102">
        <v>1920252</v>
      </c>
      <c r="D26" s="102">
        <v>1452404</v>
      </c>
      <c r="E26" s="87">
        <f t="shared" si="2"/>
        <v>-0.24363885573351832</v>
      </c>
    </row>
    <row r="27" spans="2:5" x14ac:dyDescent="0.25">
      <c r="B27" s="89" t="s">
        <v>68</v>
      </c>
      <c r="C27" s="102">
        <v>726399</v>
      </c>
      <c r="D27" s="102">
        <v>1095649</v>
      </c>
      <c r="E27" s="87">
        <f t="shared" si="2"/>
        <v>0.50832944428612925</v>
      </c>
    </row>
    <row r="28" spans="2:5" x14ac:dyDescent="0.25">
      <c r="B28" s="89" t="s">
        <v>65</v>
      </c>
      <c r="C28" s="102">
        <v>483487</v>
      </c>
      <c r="D28" s="102">
        <v>589810</v>
      </c>
      <c r="E28" s="87">
        <f t="shared" si="2"/>
        <v>0.21990870488761849</v>
      </c>
    </row>
    <row r="29" spans="2:5" x14ac:dyDescent="0.25">
      <c r="B29" s="89" t="s">
        <v>67</v>
      </c>
      <c r="C29" s="102">
        <v>-6757285</v>
      </c>
      <c r="D29" s="102">
        <v>313082</v>
      </c>
      <c r="E29" s="87">
        <f t="shared" si="2"/>
        <v>-1.0463325137240771</v>
      </c>
    </row>
    <row r="30" spans="2:5" x14ac:dyDescent="0.25">
      <c r="B30" s="89" t="s">
        <v>71</v>
      </c>
      <c r="C30" s="102">
        <v>-235952</v>
      </c>
      <c r="D30" s="102">
        <v>96612</v>
      </c>
      <c r="E30" s="87">
        <f t="shared" si="2"/>
        <v>-1.4094561605750322</v>
      </c>
    </row>
    <row r="31" spans="2:5" x14ac:dyDescent="0.25">
      <c r="B31" s="89" t="s">
        <v>72</v>
      </c>
      <c r="C31" s="102">
        <v>123181</v>
      </c>
      <c r="D31" s="102">
        <v>61153</v>
      </c>
      <c r="E31" s="87">
        <f t="shared" si="2"/>
        <v>-0.50355168410712692</v>
      </c>
    </row>
    <row r="32" spans="2:5" x14ac:dyDescent="0.25">
      <c r="B32" s="89" t="s">
        <v>70</v>
      </c>
      <c r="C32" s="102">
        <v>515013</v>
      </c>
      <c r="D32" s="102">
        <v>10524</v>
      </c>
      <c r="E32" s="87">
        <f t="shared" si="2"/>
        <v>-0.97956556436439468</v>
      </c>
    </row>
    <row r="33" spans="2:7" x14ac:dyDescent="0.25">
      <c r="B33" s="89" t="s">
        <v>87</v>
      </c>
      <c r="C33" s="102">
        <v>-1126203</v>
      </c>
      <c r="D33" s="102">
        <v>-3207974</v>
      </c>
      <c r="E33" s="87">
        <f t="shared" si="2"/>
        <v>1.8484864629200952</v>
      </c>
    </row>
    <row r="34" spans="2:7" x14ac:dyDescent="0.25">
      <c r="B34" s="90" t="s">
        <v>81</v>
      </c>
      <c r="C34" s="102">
        <v>-3069859</v>
      </c>
      <c r="D34" s="102">
        <v>-4404817</v>
      </c>
      <c r="E34" s="87">
        <f t="shared" si="2"/>
        <v>0.43485971179783828</v>
      </c>
    </row>
    <row r="35" spans="2:7" s="5" customFormat="1" ht="30" customHeight="1" x14ac:dyDescent="0.25">
      <c r="B35" s="44" t="s">
        <v>40</v>
      </c>
      <c r="C35" s="45">
        <f>SUM(C24:C34)</f>
        <v>-451104</v>
      </c>
      <c r="D35" s="45">
        <f>SUM(D24:D34)</f>
        <v>3873724</v>
      </c>
      <c r="E35" s="88">
        <f>(D35-C35)/C35</f>
        <v>-9.587208271263389</v>
      </c>
    </row>
    <row r="36" spans="2:7" s="10" customFormat="1" ht="30" customHeight="1" thickBot="1" x14ac:dyDescent="0.3">
      <c r="B36" s="56" t="s">
        <v>75</v>
      </c>
      <c r="C36" s="91">
        <f>C22+C35</f>
        <v>14725587</v>
      </c>
      <c r="D36" s="91">
        <f>D22+D35</f>
        <v>19924458</v>
      </c>
      <c r="E36" s="92">
        <f>(D36-C36)/C36</f>
        <v>0.35305017042784098</v>
      </c>
    </row>
    <row r="38" spans="2:7" x14ac:dyDescent="0.25">
      <c r="B38" s="100"/>
      <c r="C38"/>
      <c r="D38"/>
      <c r="E38"/>
      <c r="F38" s="101"/>
      <c r="G38"/>
    </row>
    <row r="39" spans="2:7" x14ac:dyDescent="0.25">
      <c r="B39" s="100"/>
      <c r="C39"/>
      <c r="D39"/>
      <c r="E39"/>
      <c r="F39"/>
      <c r="G39"/>
    </row>
    <row r="40" spans="2:7" x14ac:dyDescent="0.25">
      <c r="B40" s="100"/>
      <c r="C40"/>
      <c r="D40"/>
      <c r="E40"/>
      <c r="F40"/>
      <c r="G40"/>
    </row>
  </sheetData>
  <mergeCells count="3">
    <mergeCell ref="B2:E2"/>
    <mergeCell ref="B5:E5"/>
    <mergeCell ref="B23:E23"/>
  </mergeCells>
  <phoneticPr fontId="3" type="noConversion"/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osiguranja&amp;RGodišnje izvješće</oddHeader>
    <oddFooter>&amp;CU izvješće su uključeni podatci zaključno s 31.12.2009. godine.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E23"/>
  <sheetViews>
    <sheetView showGridLines="0" zoomScaleNormal="100" zoomScaleSheetLayoutView="100" workbookViewId="0">
      <pane xSplit="3" topLeftCell="D1" activePane="topRight" state="frozen"/>
      <selection pane="topRight" activeCell="B2" sqref="B2:CC2"/>
    </sheetView>
  </sheetViews>
  <sheetFormatPr defaultRowHeight="15" x14ac:dyDescent="0.25"/>
  <cols>
    <col min="1" max="1" width="2" style="13" customWidth="1"/>
    <col min="2" max="2" width="4.7109375" style="13" customWidth="1"/>
    <col min="3" max="3" width="36.7109375" style="13" customWidth="1"/>
    <col min="4" max="81" width="11.85546875" style="13" customWidth="1"/>
    <col min="82" max="82" width="9.140625" style="13"/>
    <col min="83" max="83" width="16.85546875" style="13" customWidth="1"/>
    <col min="84" max="16384" width="9.140625" style="13"/>
  </cols>
  <sheetData>
    <row r="2" spans="2:83" x14ac:dyDescent="0.25">
      <c r="B2" s="162" t="s">
        <v>92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  <c r="AQ2" s="163"/>
      <c r="AR2" s="163"/>
      <c r="AS2" s="163"/>
      <c r="AT2" s="163"/>
      <c r="AU2" s="163"/>
      <c r="AV2" s="163"/>
      <c r="AW2" s="163"/>
      <c r="AX2" s="163"/>
      <c r="AY2" s="163"/>
      <c r="AZ2" s="163"/>
      <c r="BA2" s="163"/>
      <c r="BB2" s="163"/>
      <c r="BC2" s="163"/>
      <c r="BD2" s="163"/>
      <c r="BE2" s="163"/>
      <c r="BF2" s="163"/>
      <c r="BG2" s="163"/>
      <c r="BH2" s="163"/>
      <c r="BI2" s="163"/>
      <c r="BJ2" s="163"/>
      <c r="BK2" s="163"/>
      <c r="BL2" s="163"/>
      <c r="BM2" s="163"/>
      <c r="BN2" s="163"/>
      <c r="BO2" s="163"/>
      <c r="BP2" s="163"/>
      <c r="BQ2" s="163"/>
      <c r="BR2" s="163"/>
      <c r="BS2" s="163"/>
      <c r="BT2" s="163"/>
      <c r="BU2" s="163"/>
      <c r="BV2" s="163"/>
      <c r="BW2" s="163"/>
      <c r="BX2" s="163"/>
      <c r="BY2" s="163"/>
      <c r="BZ2" s="163"/>
      <c r="CA2" s="163"/>
      <c r="CB2" s="163"/>
      <c r="CC2" s="163"/>
    </row>
    <row r="3" spans="2:83" ht="15.75" thickBot="1" x14ac:dyDescent="0.3"/>
    <row r="4" spans="2:83" ht="19.5" thickBot="1" x14ac:dyDescent="0.35">
      <c r="B4" s="166" t="s">
        <v>25</v>
      </c>
      <c r="C4" s="169" t="s">
        <v>91</v>
      </c>
      <c r="D4" s="172" t="s">
        <v>37</v>
      </c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3" t="s">
        <v>38</v>
      </c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72"/>
      <c r="CA4" s="172"/>
      <c r="CB4" s="172"/>
      <c r="CC4" s="174"/>
    </row>
    <row r="5" spans="2:83" ht="33.75" customHeight="1" x14ac:dyDescent="0.25">
      <c r="B5" s="167"/>
      <c r="C5" s="170"/>
      <c r="D5" s="157" t="s">
        <v>2</v>
      </c>
      <c r="E5" s="155"/>
      <c r="F5" s="158"/>
      <c r="G5" s="154" t="s">
        <v>3</v>
      </c>
      <c r="H5" s="155"/>
      <c r="I5" s="158"/>
      <c r="J5" s="164" t="s">
        <v>4</v>
      </c>
      <c r="K5" s="160"/>
      <c r="L5" s="165"/>
      <c r="M5" s="157" t="s">
        <v>5</v>
      </c>
      <c r="N5" s="155"/>
      <c r="O5" s="158"/>
      <c r="P5" s="159" t="s">
        <v>6</v>
      </c>
      <c r="Q5" s="160"/>
      <c r="R5" s="165"/>
      <c r="S5" s="164" t="s">
        <v>7</v>
      </c>
      <c r="T5" s="160"/>
      <c r="U5" s="165"/>
      <c r="V5" s="175" t="s">
        <v>82</v>
      </c>
      <c r="W5" s="176"/>
      <c r="X5" s="176"/>
      <c r="Y5" s="164" t="s">
        <v>8</v>
      </c>
      <c r="Z5" s="160"/>
      <c r="AA5" s="165"/>
      <c r="AB5" s="159" t="s">
        <v>9</v>
      </c>
      <c r="AC5" s="160"/>
      <c r="AD5" s="165"/>
      <c r="AE5" s="159" t="s">
        <v>88</v>
      </c>
      <c r="AF5" s="160"/>
      <c r="AG5" s="161"/>
      <c r="AH5" s="157" t="s">
        <v>10</v>
      </c>
      <c r="AI5" s="155"/>
      <c r="AJ5" s="158"/>
      <c r="AK5" s="154" t="s">
        <v>11</v>
      </c>
      <c r="AL5" s="155"/>
      <c r="AM5" s="156"/>
      <c r="AN5" s="157" t="s">
        <v>12</v>
      </c>
      <c r="AO5" s="155"/>
      <c r="AP5" s="158"/>
      <c r="AQ5" s="159" t="s">
        <v>13</v>
      </c>
      <c r="AR5" s="160"/>
      <c r="AS5" s="161"/>
      <c r="AT5" s="164" t="s">
        <v>14</v>
      </c>
      <c r="AU5" s="160"/>
      <c r="AV5" s="161"/>
      <c r="AW5" s="164" t="s">
        <v>15</v>
      </c>
      <c r="AX5" s="160"/>
      <c r="AY5" s="165"/>
      <c r="AZ5" s="154" t="s">
        <v>16</v>
      </c>
      <c r="BA5" s="155"/>
      <c r="BB5" s="156"/>
      <c r="BC5" s="164" t="s">
        <v>17</v>
      </c>
      <c r="BD5" s="160"/>
      <c r="BE5" s="165"/>
      <c r="BF5" s="154" t="s">
        <v>18</v>
      </c>
      <c r="BG5" s="155"/>
      <c r="BH5" s="156"/>
      <c r="BI5" s="157" t="s">
        <v>19</v>
      </c>
      <c r="BJ5" s="155"/>
      <c r="BK5" s="158"/>
      <c r="BL5" s="159" t="s">
        <v>83</v>
      </c>
      <c r="BM5" s="160"/>
      <c r="BN5" s="161"/>
      <c r="BO5" s="157" t="s">
        <v>20</v>
      </c>
      <c r="BP5" s="155"/>
      <c r="BQ5" s="158"/>
      <c r="BR5" s="159" t="s">
        <v>21</v>
      </c>
      <c r="BS5" s="160"/>
      <c r="BT5" s="161"/>
      <c r="BU5" s="157" t="s">
        <v>22</v>
      </c>
      <c r="BV5" s="155"/>
      <c r="BW5" s="158"/>
      <c r="BX5" s="154" t="s">
        <v>23</v>
      </c>
      <c r="BY5" s="155"/>
      <c r="BZ5" s="156"/>
      <c r="CA5" s="164" t="s">
        <v>89</v>
      </c>
      <c r="CB5" s="160"/>
      <c r="CC5" s="165"/>
    </row>
    <row r="6" spans="2:83" ht="21.75" customHeight="1" thickBot="1" x14ac:dyDescent="0.3">
      <c r="B6" s="168"/>
      <c r="C6" s="171"/>
      <c r="D6" s="28" t="s">
        <v>77</v>
      </c>
      <c r="E6" s="27" t="s">
        <v>78</v>
      </c>
      <c r="F6" s="37" t="s">
        <v>24</v>
      </c>
      <c r="G6" s="29" t="s">
        <v>77</v>
      </c>
      <c r="H6" s="27" t="s">
        <v>78</v>
      </c>
      <c r="I6" s="36" t="s">
        <v>24</v>
      </c>
      <c r="J6" s="28" t="s">
        <v>77</v>
      </c>
      <c r="K6" s="27" t="s">
        <v>78</v>
      </c>
      <c r="L6" s="37" t="s">
        <v>24</v>
      </c>
      <c r="M6" s="28" t="s">
        <v>77</v>
      </c>
      <c r="N6" s="27" t="s">
        <v>78</v>
      </c>
      <c r="O6" s="37" t="s">
        <v>24</v>
      </c>
      <c r="P6" s="29" t="s">
        <v>77</v>
      </c>
      <c r="Q6" s="27" t="s">
        <v>78</v>
      </c>
      <c r="R6" s="37" t="s">
        <v>24</v>
      </c>
      <c r="S6" s="28" t="s">
        <v>77</v>
      </c>
      <c r="T6" s="27" t="s">
        <v>78</v>
      </c>
      <c r="U6" s="37" t="s">
        <v>24</v>
      </c>
      <c r="V6" s="28" t="s">
        <v>77</v>
      </c>
      <c r="W6" s="27" t="s">
        <v>78</v>
      </c>
      <c r="X6" s="119" t="s">
        <v>24</v>
      </c>
      <c r="Y6" s="28" t="s">
        <v>77</v>
      </c>
      <c r="Z6" s="27" t="s">
        <v>78</v>
      </c>
      <c r="AA6" s="37" t="s">
        <v>24</v>
      </c>
      <c r="AB6" s="29" t="s">
        <v>77</v>
      </c>
      <c r="AC6" s="27" t="s">
        <v>78</v>
      </c>
      <c r="AD6" s="37" t="s">
        <v>24</v>
      </c>
      <c r="AE6" s="29" t="s">
        <v>77</v>
      </c>
      <c r="AF6" s="27" t="s">
        <v>78</v>
      </c>
      <c r="AG6" s="36" t="s">
        <v>24</v>
      </c>
      <c r="AH6" s="28" t="s">
        <v>77</v>
      </c>
      <c r="AI6" s="27" t="s">
        <v>78</v>
      </c>
      <c r="AJ6" s="37" t="s">
        <v>24</v>
      </c>
      <c r="AK6" s="29" t="s">
        <v>77</v>
      </c>
      <c r="AL6" s="27" t="s">
        <v>78</v>
      </c>
      <c r="AM6" s="36" t="s">
        <v>24</v>
      </c>
      <c r="AN6" s="28" t="s">
        <v>77</v>
      </c>
      <c r="AO6" s="27" t="s">
        <v>78</v>
      </c>
      <c r="AP6" s="37" t="s">
        <v>24</v>
      </c>
      <c r="AQ6" s="29" t="s">
        <v>77</v>
      </c>
      <c r="AR6" s="27" t="s">
        <v>78</v>
      </c>
      <c r="AS6" s="36" t="s">
        <v>24</v>
      </c>
      <c r="AT6" s="28" t="s">
        <v>77</v>
      </c>
      <c r="AU6" s="27" t="s">
        <v>78</v>
      </c>
      <c r="AV6" s="36" t="s">
        <v>24</v>
      </c>
      <c r="AW6" s="123" t="s">
        <v>77</v>
      </c>
      <c r="AX6" s="124" t="s">
        <v>78</v>
      </c>
      <c r="AY6" s="125" t="s">
        <v>24</v>
      </c>
      <c r="AZ6" s="29" t="s">
        <v>77</v>
      </c>
      <c r="BA6" s="27" t="s">
        <v>78</v>
      </c>
      <c r="BB6" s="36" t="s">
        <v>24</v>
      </c>
      <c r="BC6" s="28" t="s">
        <v>77</v>
      </c>
      <c r="BD6" s="27" t="s">
        <v>78</v>
      </c>
      <c r="BE6" s="37" t="s">
        <v>24</v>
      </c>
      <c r="BF6" s="29" t="s">
        <v>77</v>
      </c>
      <c r="BG6" s="27" t="s">
        <v>78</v>
      </c>
      <c r="BH6" s="36" t="s">
        <v>24</v>
      </c>
      <c r="BI6" s="28" t="s">
        <v>77</v>
      </c>
      <c r="BJ6" s="27" t="s">
        <v>78</v>
      </c>
      <c r="BK6" s="37" t="s">
        <v>24</v>
      </c>
      <c r="BL6" s="29" t="s">
        <v>77</v>
      </c>
      <c r="BM6" s="27" t="s">
        <v>78</v>
      </c>
      <c r="BN6" s="36" t="s">
        <v>24</v>
      </c>
      <c r="BO6" s="28" t="s">
        <v>77</v>
      </c>
      <c r="BP6" s="27" t="s">
        <v>78</v>
      </c>
      <c r="BQ6" s="37" t="s">
        <v>24</v>
      </c>
      <c r="BR6" s="29" t="s">
        <v>77</v>
      </c>
      <c r="BS6" s="27" t="s">
        <v>78</v>
      </c>
      <c r="BT6" s="36" t="s">
        <v>24</v>
      </c>
      <c r="BU6" s="28" t="s">
        <v>77</v>
      </c>
      <c r="BV6" s="27" t="s">
        <v>78</v>
      </c>
      <c r="BW6" s="37" t="s">
        <v>24</v>
      </c>
      <c r="BX6" s="29" t="s">
        <v>77</v>
      </c>
      <c r="BY6" s="27" t="s">
        <v>78</v>
      </c>
      <c r="BZ6" s="36" t="s">
        <v>24</v>
      </c>
      <c r="CA6" s="28" t="s">
        <v>77</v>
      </c>
      <c r="CB6" s="27" t="s">
        <v>78</v>
      </c>
      <c r="CC6" s="37" t="s">
        <v>24</v>
      </c>
    </row>
    <row r="7" spans="2:83" ht="15" customHeight="1" x14ac:dyDescent="0.25">
      <c r="B7" s="24" t="s">
        <v>47</v>
      </c>
      <c r="C7" s="30" t="s">
        <v>26</v>
      </c>
      <c r="D7" s="33">
        <v>61248</v>
      </c>
      <c r="E7" s="15">
        <v>78004</v>
      </c>
      <c r="F7" s="26">
        <f t="shared" ref="F7:F12" si="0">(E7-D7)/D7</f>
        <v>0.27357628004179729</v>
      </c>
      <c r="G7" s="111">
        <v>204649</v>
      </c>
      <c r="H7" s="15">
        <v>192366</v>
      </c>
      <c r="I7" s="26">
        <f t="shared" ref="I7:I12" si="1">(H7-G7)/G7</f>
        <v>-6.0019838846024166E-2</v>
      </c>
      <c r="J7" s="15">
        <v>85835</v>
      </c>
      <c r="K7" s="15">
        <v>80028</v>
      </c>
      <c r="L7" s="26">
        <f t="shared" ref="L7:L12" si="2">(K7-J7)/J7</f>
        <v>-6.765305528047999E-2</v>
      </c>
      <c r="M7" s="33">
        <v>218882</v>
      </c>
      <c r="N7" s="15">
        <v>184706</v>
      </c>
      <c r="O7" s="26">
        <f t="shared" ref="O7:O12" si="3">(N7-M7)/M7</f>
        <v>-0.15613892416918704</v>
      </c>
      <c r="P7" s="111">
        <v>168156</v>
      </c>
      <c r="Q7" s="15">
        <v>174450</v>
      </c>
      <c r="R7" s="26">
        <f t="shared" ref="R7:R12" si="4">(Q7-P7)/P7</f>
        <v>3.7429529722400628E-2</v>
      </c>
      <c r="S7" s="15">
        <v>98474</v>
      </c>
      <c r="T7" s="15">
        <v>114590</v>
      </c>
      <c r="U7" s="26">
        <f t="shared" ref="U7:U12" si="5">(T7-S7)/S7</f>
        <v>0.16365741210877999</v>
      </c>
      <c r="V7" s="15">
        <v>90317</v>
      </c>
      <c r="W7" s="15">
        <v>87270</v>
      </c>
      <c r="X7" s="16">
        <f t="shared" ref="X7:X11" si="6">(W7-V7)/V7</f>
        <v>-3.3736727304937056E-2</v>
      </c>
      <c r="Y7" s="33">
        <v>69687</v>
      </c>
      <c r="Z7" s="15">
        <v>67329</v>
      </c>
      <c r="AA7" s="26">
        <f t="shared" ref="AA7:AA12" si="7">(Z7-Y7)/Y7</f>
        <v>-3.3837014077231047E-2</v>
      </c>
      <c r="AB7" s="111">
        <v>100019</v>
      </c>
      <c r="AC7" s="15">
        <v>55704</v>
      </c>
      <c r="AD7" s="26">
        <f t="shared" ref="AD7:AD12" si="8">(AC7-AB7)/AB7</f>
        <v>-0.443065817494676</v>
      </c>
      <c r="AE7" s="15">
        <v>958262</v>
      </c>
      <c r="AF7" s="15">
        <v>946877</v>
      </c>
      <c r="AG7" s="25">
        <f t="shared" ref="AG7:AG12" si="9">(AF7-AE7)/AE7</f>
        <v>-1.1880884351043869E-2</v>
      </c>
      <c r="AH7" s="33">
        <v>116208</v>
      </c>
      <c r="AI7" s="15">
        <v>118203</v>
      </c>
      <c r="AJ7" s="26">
        <f t="shared" ref="AJ7:AJ12" si="10">(AI7-AH7)/AH7</f>
        <v>1.7167492771581992E-2</v>
      </c>
      <c r="AK7" s="15">
        <v>124272</v>
      </c>
      <c r="AL7" s="15">
        <v>119673</v>
      </c>
      <c r="AM7" s="25">
        <f t="shared" ref="AM7:AM12" si="11">(AL7-AK7)/AK7</f>
        <v>-3.7007531865585169E-2</v>
      </c>
      <c r="AN7" s="33">
        <v>197869</v>
      </c>
      <c r="AO7" s="15">
        <v>200647</v>
      </c>
      <c r="AP7" s="26">
        <f t="shared" ref="AP7:AP12" si="12">(AO7-AN7)/AN7</f>
        <v>1.4039591851174262E-2</v>
      </c>
      <c r="AQ7" s="15">
        <v>113395</v>
      </c>
      <c r="AR7" s="15">
        <v>101367</v>
      </c>
      <c r="AS7" s="25">
        <f t="shared" ref="AS7:AS12" si="13">(AR7-AQ7)/AQ7</f>
        <v>-0.10607169628290489</v>
      </c>
      <c r="AT7" s="33">
        <v>70822</v>
      </c>
      <c r="AU7" s="15">
        <v>72359</v>
      </c>
      <c r="AV7" s="25">
        <f t="shared" ref="AV7:AV12" si="14">(AU7-AT7)/AT7</f>
        <v>2.1702295896755246E-2</v>
      </c>
      <c r="AW7" s="126">
        <v>227906</v>
      </c>
      <c r="AX7" s="127">
        <v>282758</v>
      </c>
      <c r="AY7" s="128">
        <f>(AX7-AW7)/AW7</f>
        <v>0.24067817433503286</v>
      </c>
      <c r="AZ7" s="15">
        <v>90797</v>
      </c>
      <c r="BA7" s="15">
        <v>102338</v>
      </c>
      <c r="BB7" s="25">
        <f t="shared" ref="BB7:BB12" si="15">(BA7-AZ7)/AZ7</f>
        <v>0.12710772382347435</v>
      </c>
      <c r="BC7" s="33">
        <v>168232</v>
      </c>
      <c r="BD7" s="15">
        <v>147638</v>
      </c>
      <c r="BE7" s="26">
        <f t="shared" ref="BE7:BE11" si="16">(BD7-BC7)/BC7</f>
        <v>-0.12241428503495173</v>
      </c>
      <c r="BF7" s="15">
        <v>1166470</v>
      </c>
      <c r="BG7" s="15">
        <v>1324642</v>
      </c>
      <c r="BH7" s="25">
        <f t="shared" ref="BH7:BH12" si="17">(BG7-BF7)/BF7</f>
        <v>0.13559885809322142</v>
      </c>
      <c r="BI7" s="33">
        <v>121012</v>
      </c>
      <c r="BJ7" s="15">
        <v>107056</v>
      </c>
      <c r="BK7" s="26">
        <f>(BJ7-BI7)/BI7</f>
        <v>-0.11532740554655736</v>
      </c>
      <c r="BL7" s="15">
        <v>108777</v>
      </c>
      <c r="BM7" s="15">
        <v>94054</v>
      </c>
      <c r="BN7" s="25">
        <f t="shared" ref="BN7:BN12" si="18">(BM7-BL7)/BL7</f>
        <v>-0.13535030383261168</v>
      </c>
      <c r="BO7" s="33">
        <v>94027</v>
      </c>
      <c r="BP7" s="15">
        <v>85602</v>
      </c>
      <c r="BQ7" s="26">
        <f t="shared" ref="BQ7:BQ12" si="19">(BP7-BO7)/BO7</f>
        <v>-8.9601922851946778E-2</v>
      </c>
      <c r="BR7" s="15">
        <v>51061</v>
      </c>
      <c r="BS7" s="15">
        <v>101909</v>
      </c>
      <c r="BT7" s="25">
        <f t="shared" ref="BT7:BT12" si="20">(BS7-BR7)/BR7</f>
        <v>0.99582851883041856</v>
      </c>
      <c r="BU7" s="33">
        <v>161459</v>
      </c>
      <c r="BV7" s="15">
        <v>157313</v>
      </c>
      <c r="BW7" s="26">
        <f t="shared" ref="BW7:BW12" si="21">(BV7-BU7)/BU7</f>
        <v>-2.5678345586185966E-2</v>
      </c>
      <c r="BX7" s="15">
        <v>148335</v>
      </c>
      <c r="BY7" s="15">
        <v>86972</v>
      </c>
      <c r="BZ7" s="25">
        <f t="shared" ref="BZ7:BZ12" si="22">(BY7-BX7)/BX7</f>
        <v>-0.41367849799440454</v>
      </c>
      <c r="CA7" s="33">
        <v>104833</v>
      </c>
      <c r="CB7" s="15">
        <v>107279</v>
      </c>
      <c r="CC7" s="26">
        <f>(CB7-CA7)/CA7</f>
        <v>2.3332347638625243E-2</v>
      </c>
    </row>
    <row r="8" spans="2:83" ht="15" customHeight="1" x14ac:dyDescent="0.25">
      <c r="B8" s="14" t="s">
        <v>48</v>
      </c>
      <c r="C8" s="31" t="s">
        <v>27</v>
      </c>
      <c r="D8" s="33">
        <v>35703</v>
      </c>
      <c r="E8" s="15">
        <v>62622</v>
      </c>
      <c r="F8" s="17">
        <f t="shared" si="0"/>
        <v>0.75397025460045375</v>
      </c>
      <c r="G8" s="111">
        <v>181399</v>
      </c>
      <c r="H8" s="15">
        <v>190885</v>
      </c>
      <c r="I8" s="17">
        <f>(H8-G8)/G8</f>
        <v>5.2293562809056282E-2</v>
      </c>
      <c r="J8" s="15">
        <v>78295</v>
      </c>
      <c r="K8" s="15">
        <v>84323</v>
      </c>
      <c r="L8" s="17">
        <f t="shared" si="2"/>
        <v>7.699086787151159E-2</v>
      </c>
      <c r="M8" s="33">
        <v>224233</v>
      </c>
      <c r="N8" s="15">
        <v>184906</v>
      </c>
      <c r="O8" s="17">
        <f>(N8-M8)/M8</f>
        <v>-0.1753845330526729</v>
      </c>
      <c r="P8" s="111">
        <v>157297</v>
      </c>
      <c r="Q8" s="15">
        <v>162767</v>
      </c>
      <c r="R8" s="17">
        <f t="shared" si="4"/>
        <v>3.4774979815253945E-2</v>
      </c>
      <c r="S8" s="15">
        <v>111981</v>
      </c>
      <c r="T8" s="15">
        <v>133570</v>
      </c>
      <c r="U8" s="17">
        <f t="shared" si="5"/>
        <v>0.19279163429510363</v>
      </c>
      <c r="V8" s="15">
        <v>103542</v>
      </c>
      <c r="W8" s="15">
        <v>105518</v>
      </c>
      <c r="X8" s="120">
        <f t="shared" si="6"/>
        <v>1.9084043190203008E-2</v>
      </c>
      <c r="Y8" s="33">
        <v>68698</v>
      </c>
      <c r="Z8" s="15">
        <v>86215</v>
      </c>
      <c r="AA8" s="17">
        <f t="shared" si="7"/>
        <v>0.25498558910011937</v>
      </c>
      <c r="AB8" s="111">
        <v>227647</v>
      </c>
      <c r="AC8" s="15">
        <v>108255</v>
      </c>
      <c r="AD8" s="17">
        <f t="shared" si="8"/>
        <v>-0.52446111743181334</v>
      </c>
      <c r="AE8" s="15">
        <v>940714</v>
      </c>
      <c r="AF8" s="15">
        <v>980387</v>
      </c>
      <c r="AG8" s="16">
        <f t="shared" si="9"/>
        <v>4.2173285398112499E-2</v>
      </c>
      <c r="AH8" s="33">
        <v>102608</v>
      </c>
      <c r="AI8" s="15">
        <v>102592</v>
      </c>
      <c r="AJ8" s="17">
        <f t="shared" si="10"/>
        <v>-1.5593326056447841E-4</v>
      </c>
      <c r="AK8" s="15">
        <v>110828</v>
      </c>
      <c r="AL8" s="15">
        <v>114214</v>
      </c>
      <c r="AM8" s="16">
        <f t="shared" si="11"/>
        <v>3.0551846103872668E-2</v>
      </c>
      <c r="AN8" s="33">
        <v>212341</v>
      </c>
      <c r="AO8" s="15">
        <v>192882</v>
      </c>
      <c r="AP8" s="17">
        <f t="shared" si="12"/>
        <v>-9.1640333237575408E-2</v>
      </c>
      <c r="AQ8" s="15">
        <v>99447</v>
      </c>
      <c r="AR8" s="15">
        <v>91802</v>
      </c>
      <c r="AS8" s="16">
        <f t="shared" si="13"/>
        <v>-7.6875119410339171E-2</v>
      </c>
      <c r="AT8" s="33">
        <v>71618</v>
      </c>
      <c r="AU8" s="15">
        <v>74907</v>
      </c>
      <c r="AV8" s="16">
        <f t="shared" si="14"/>
        <v>4.5924208997737997E-2</v>
      </c>
      <c r="AW8" s="33">
        <v>276287</v>
      </c>
      <c r="AX8" s="111">
        <v>377232</v>
      </c>
      <c r="AY8" s="17">
        <f>(AX8-AW8)/AW8</f>
        <v>0.36536282923192187</v>
      </c>
      <c r="AZ8" s="15">
        <v>82674</v>
      </c>
      <c r="BA8" s="15">
        <v>108450</v>
      </c>
      <c r="BB8" s="16">
        <f t="shared" si="15"/>
        <v>0.31177879381667756</v>
      </c>
      <c r="BC8" s="33">
        <v>178057</v>
      </c>
      <c r="BD8" s="15">
        <v>159156</v>
      </c>
      <c r="BE8" s="17">
        <f t="shared" si="16"/>
        <v>-0.10615140095587368</v>
      </c>
      <c r="BF8" s="15">
        <v>1236144</v>
      </c>
      <c r="BG8" s="15">
        <v>1557967</v>
      </c>
      <c r="BH8" s="16">
        <f t="shared" si="17"/>
        <v>0.26034426409868106</v>
      </c>
      <c r="BI8" s="33">
        <v>132042</v>
      </c>
      <c r="BJ8" s="15">
        <v>113458</v>
      </c>
      <c r="BK8" s="17">
        <f t="shared" ref="BK8:BK12" si="23">(BJ8-BI8)/BI8</f>
        <v>-0.14074309689341269</v>
      </c>
      <c r="BL8" s="15">
        <v>107148</v>
      </c>
      <c r="BM8" s="15">
        <v>122559</v>
      </c>
      <c r="BN8" s="16">
        <f t="shared" si="18"/>
        <v>0.14382909620338225</v>
      </c>
      <c r="BO8" s="33">
        <v>98274</v>
      </c>
      <c r="BP8" s="15">
        <v>108797</v>
      </c>
      <c r="BQ8" s="17">
        <f t="shared" si="19"/>
        <v>0.10707816920039888</v>
      </c>
      <c r="BR8" s="15">
        <v>21366</v>
      </c>
      <c r="BS8" s="15">
        <v>99114</v>
      </c>
      <c r="BT8" s="16">
        <f t="shared" si="20"/>
        <v>3.6388654872226902</v>
      </c>
      <c r="BU8" s="33">
        <v>171644</v>
      </c>
      <c r="BV8" s="15">
        <v>181995</v>
      </c>
      <c r="BW8" s="17">
        <f t="shared" si="21"/>
        <v>6.0305049987182772E-2</v>
      </c>
      <c r="BX8" s="15">
        <v>94916</v>
      </c>
      <c r="BY8" s="15">
        <v>95389</v>
      </c>
      <c r="BZ8" s="16">
        <f>(BY8-BX8)/BX8</f>
        <v>4.983353702220911E-3</v>
      </c>
      <c r="CA8" s="33">
        <v>100802</v>
      </c>
      <c r="CB8" s="15">
        <v>126798</v>
      </c>
      <c r="CC8" s="17">
        <f>(CB8-CA8)/CA8</f>
        <v>0.25789170849784726</v>
      </c>
    </row>
    <row r="9" spans="2:83" ht="15" customHeight="1" x14ac:dyDescent="0.25">
      <c r="B9" s="14" t="s">
        <v>49</v>
      </c>
      <c r="C9" s="31" t="s">
        <v>28</v>
      </c>
      <c r="D9" s="116">
        <v>140</v>
      </c>
      <c r="E9" s="103">
        <v>158</v>
      </c>
      <c r="F9" s="17">
        <f t="shared" si="0"/>
        <v>0.12857142857142856</v>
      </c>
      <c r="G9" s="112">
        <v>15358</v>
      </c>
      <c r="H9" s="18">
        <v>12719</v>
      </c>
      <c r="I9" s="17">
        <f t="shared" si="1"/>
        <v>-0.17183226982680036</v>
      </c>
      <c r="J9" s="103">
        <v>682</v>
      </c>
      <c r="K9" s="103">
        <v>594</v>
      </c>
      <c r="L9" s="17">
        <f t="shared" si="2"/>
        <v>-0.12903225806451613</v>
      </c>
      <c r="M9" s="121">
        <v>10074</v>
      </c>
      <c r="N9" s="18">
        <v>5993</v>
      </c>
      <c r="O9" s="17">
        <f t="shared" si="3"/>
        <v>-0.40510224339884854</v>
      </c>
      <c r="P9" s="112">
        <v>8747</v>
      </c>
      <c r="Q9" s="18">
        <v>9487</v>
      </c>
      <c r="R9" s="17">
        <f t="shared" si="4"/>
        <v>8.4600434434663307E-2</v>
      </c>
      <c r="S9" s="18">
        <v>1543</v>
      </c>
      <c r="T9" s="18">
        <v>5397</v>
      </c>
      <c r="U9" s="17">
        <f t="shared" si="5"/>
        <v>2.4977316915100451</v>
      </c>
      <c r="V9" s="18">
        <v>-7737</v>
      </c>
      <c r="W9" s="18">
        <v>-5555</v>
      </c>
      <c r="X9" s="16">
        <f t="shared" si="6"/>
        <v>-0.28202145534444878</v>
      </c>
      <c r="Y9" s="116">
        <v>92</v>
      </c>
      <c r="Z9" s="103">
        <v>662</v>
      </c>
      <c r="AA9" s="17">
        <f t="shared" si="7"/>
        <v>6.1956521739130439</v>
      </c>
      <c r="AB9" s="112">
        <v>917</v>
      </c>
      <c r="AC9" s="18">
        <v>-76217</v>
      </c>
      <c r="AD9" s="17" t="s">
        <v>1</v>
      </c>
      <c r="AE9" s="18">
        <v>576</v>
      </c>
      <c r="AF9" s="18">
        <v>66014</v>
      </c>
      <c r="AG9" s="16">
        <f t="shared" si="9"/>
        <v>113.60763888888889</v>
      </c>
      <c r="AH9" s="121">
        <v>3465</v>
      </c>
      <c r="AI9" s="18">
        <v>2910</v>
      </c>
      <c r="AJ9" s="17">
        <f t="shared" si="10"/>
        <v>-0.16017316017316016</v>
      </c>
      <c r="AK9" s="18">
        <v>8419</v>
      </c>
      <c r="AL9" s="18">
        <v>12713</v>
      </c>
      <c r="AM9" s="16">
        <f t="shared" si="11"/>
        <v>0.51003682147523455</v>
      </c>
      <c r="AN9" s="121">
        <v>7933</v>
      </c>
      <c r="AO9" s="18">
        <v>3578</v>
      </c>
      <c r="AP9" s="17">
        <f t="shared" si="12"/>
        <v>-0.54897264590949202</v>
      </c>
      <c r="AQ9" s="18">
        <v>5162</v>
      </c>
      <c r="AR9" s="18">
        <v>3374</v>
      </c>
      <c r="AS9" s="16">
        <f t="shared" si="13"/>
        <v>-0.34637737311119721</v>
      </c>
      <c r="AT9" s="121">
        <v>626</v>
      </c>
      <c r="AU9" s="18">
        <v>3425</v>
      </c>
      <c r="AV9" s="16">
        <f t="shared" si="14"/>
        <v>4.4712460063897765</v>
      </c>
      <c r="AW9" s="33">
        <v>6044</v>
      </c>
      <c r="AX9" s="111">
        <v>8937</v>
      </c>
      <c r="AY9" s="17" t="s">
        <v>1</v>
      </c>
      <c r="AZ9" s="15">
        <v>23699</v>
      </c>
      <c r="BA9" s="15">
        <v>27573</v>
      </c>
      <c r="BB9" s="16">
        <f t="shared" si="15"/>
        <v>0.1634668129456939</v>
      </c>
      <c r="BC9" s="33">
        <v>25949</v>
      </c>
      <c r="BD9" s="15">
        <v>17931</v>
      </c>
      <c r="BE9" s="17">
        <f t="shared" si="16"/>
        <v>-0.30899071255154342</v>
      </c>
      <c r="BF9" s="15">
        <v>121067</v>
      </c>
      <c r="BG9" s="15">
        <v>182608</v>
      </c>
      <c r="BH9" s="16">
        <f t="shared" si="17"/>
        <v>0.5083218383209297</v>
      </c>
      <c r="BI9" s="33">
        <v>-45968</v>
      </c>
      <c r="BJ9" s="15">
        <v>1512</v>
      </c>
      <c r="BK9" s="17">
        <f t="shared" si="23"/>
        <v>-1.0328924469195961</v>
      </c>
      <c r="BL9" s="15">
        <v>-5835</v>
      </c>
      <c r="BM9" s="15">
        <v>-15725</v>
      </c>
      <c r="BN9" s="16" t="s">
        <v>1</v>
      </c>
      <c r="BO9" s="33">
        <v>6131</v>
      </c>
      <c r="BP9" s="110">
        <v>122</v>
      </c>
      <c r="BQ9" s="17">
        <f t="shared" si="19"/>
        <v>-0.98010112542815198</v>
      </c>
      <c r="BR9" s="15">
        <v>-14747</v>
      </c>
      <c r="BS9" s="15">
        <v>6441</v>
      </c>
      <c r="BT9" s="16">
        <f>(BS9-BR9)/BR9</f>
        <v>-1.4367668000271241</v>
      </c>
      <c r="BU9" s="33">
        <v>61055</v>
      </c>
      <c r="BV9" s="15">
        <v>70108</v>
      </c>
      <c r="BW9" s="17">
        <f t="shared" si="21"/>
        <v>0.14827614445991319</v>
      </c>
      <c r="BX9" s="15">
        <v>11198</v>
      </c>
      <c r="BY9" s="15">
        <v>3058</v>
      </c>
      <c r="BZ9" s="16">
        <f t="shared" si="22"/>
        <v>-0.7269155206286837</v>
      </c>
      <c r="CA9" s="33">
        <v>-33368</v>
      </c>
      <c r="CB9" s="15">
        <v>-57205</v>
      </c>
      <c r="CC9" s="17" t="s">
        <v>1</v>
      </c>
    </row>
    <row r="10" spans="2:83" ht="15" customHeight="1" x14ac:dyDescent="0.25">
      <c r="B10" s="14" t="s">
        <v>50</v>
      </c>
      <c r="C10" s="31" t="s">
        <v>29</v>
      </c>
      <c r="D10" s="117">
        <v>2.0999999999999999E-3</v>
      </c>
      <c r="E10" s="104">
        <f>0.34/100</f>
        <v>3.4000000000000002E-3</v>
      </c>
      <c r="F10" s="17">
        <f t="shared" si="0"/>
        <v>0.61904761904761929</v>
      </c>
      <c r="G10" s="113">
        <v>0.1585</v>
      </c>
      <c r="H10" s="106">
        <f>14.22/100</f>
        <v>0.14219999999999999</v>
      </c>
      <c r="I10" s="17">
        <f t="shared" si="1"/>
        <v>-0.10283911671924295</v>
      </c>
      <c r="J10" s="106">
        <v>1.2500000000000001E-2</v>
      </c>
      <c r="K10" s="106">
        <f>1.07/100</f>
        <v>1.0700000000000001E-2</v>
      </c>
      <c r="L10" s="17">
        <f t="shared" si="2"/>
        <v>-0.14399999999999996</v>
      </c>
      <c r="M10" s="107">
        <v>8.7499999999999994E-2</v>
      </c>
      <c r="N10" s="106">
        <f>6.22/100</f>
        <v>6.2199999999999998E-2</v>
      </c>
      <c r="O10" s="17">
        <f t="shared" si="3"/>
        <v>-0.28914285714285709</v>
      </c>
      <c r="P10" s="113">
        <v>0.12640000000000001</v>
      </c>
      <c r="Q10" s="106">
        <f>15.18/100</f>
        <v>0.15179999999999999</v>
      </c>
      <c r="R10" s="17">
        <f t="shared" si="4"/>
        <v>0.20094936708860739</v>
      </c>
      <c r="S10" s="106">
        <v>2.1100000000000001E-2</v>
      </c>
      <c r="T10" s="106">
        <f>6.05/100</f>
        <v>6.0499999999999998E-2</v>
      </c>
      <c r="U10" s="17">
        <f t="shared" si="5"/>
        <v>1.8672985781990519</v>
      </c>
      <c r="V10" s="106">
        <v>-8.6300000000000002E-2</v>
      </c>
      <c r="W10" s="106">
        <f>-5.85/100</f>
        <v>-5.8499999999999996E-2</v>
      </c>
      <c r="X10" s="16">
        <f t="shared" si="6"/>
        <v>-0.32213209733487841</v>
      </c>
      <c r="Y10" s="107">
        <v>3.3999999999999998E-3</v>
      </c>
      <c r="Z10" s="106">
        <f>1.85/100</f>
        <v>1.8500000000000003E-2</v>
      </c>
      <c r="AA10" s="17">
        <f t="shared" si="7"/>
        <v>4.4411764705882364</v>
      </c>
      <c r="AB10" s="113">
        <v>1.9E-3</v>
      </c>
      <c r="AC10" s="106">
        <f>-17.76/100</f>
        <v>-0.17760000000000001</v>
      </c>
      <c r="AD10" s="17" t="s">
        <v>1</v>
      </c>
      <c r="AE10" s="106">
        <v>1.6000000000000001E-3</v>
      </c>
      <c r="AF10" s="106">
        <f>15.3/100</f>
        <v>0.153</v>
      </c>
      <c r="AG10" s="16">
        <f t="shared" si="9"/>
        <v>94.625</v>
      </c>
      <c r="AH10" s="107">
        <v>2.5499999999999998E-2</v>
      </c>
      <c r="AI10" s="106">
        <f>3.8/100</f>
        <v>3.7999999999999999E-2</v>
      </c>
      <c r="AJ10" s="17">
        <f t="shared" si="10"/>
        <v>0.49019607843137258</v>
      </c>
      <c r="AK10" s="106">
        <v>7.46E-2</v>
      </c>
      <c r="AL10" s="106">
        <f>10.27/100</f>
        <v>0.1027</v>
      </c>
      <c r="AM10" s="16">
        <f t="shared" si="11"/>
        <v>0.37667560321715821</v>
      </c>
      <c r="AN10" s="107">
        <v>0.1145</v>
      </c>
      <c r="AO10" s="106">
        <f>4.71/100</f>
        <v>4.7100000000000003E-2</v>
      </c>
      <c r="AP10" s="17">
        <f t="shared" si="12"/>
        <v>-0.58864628820960696</v>
      </c>
      <c r="AQ10" s="106">
        <v>0.13719999999999999</v>
      </c>
      <c r="AR10" s="106">
        <f>9.14/100</f>
        <v>9.1400000000000009E-2</v>
      </c>
      <c r="AS10" s="16">
        <f t="shared" si="13"/>
        <v>-0.33381924198250718</v>
      </c>
      <c r="AT10" s="107">
        <v>9.4000000000000004E-3</v>
      </c>
      <c r="AU10" s="106">
        <f>4.8/100</f>
        <v>4.8000000000000001E-2</v>
      </c>
      <c r="AV10" s="16">
        <f t="shared" si="14"/>
        <v>4.1063829787234045</v>
      </c>
      <c r="AW10" s="107">
        <v>2.8799999999999999E-2</v>
      </c>
      <c r="AX10" s="113">
        <f>2.92/100</f>
        <v>2.92E-2</v>
      </c>
      <c r="AY10" s="17" t="s">
        <v>1</v>
      </c>
      <c r="AZ10" s="106">
        <v>0.27950000000000003</v>
      </c>
      <c r="BA10" s="106">
        <f>31.27/100</f>
        <v>0.31269999999999998</v>
      </c>
      <c r="BB10" s="16">
        <f t="shared" si="15"/>
        <v>0.1187835420393558</v>
      </c>
      <c r="BC10" s="107">
        <v>0.21779999999999999</v>
      </c>
      <c r="BD10" s="106">
        <f>16.06/100</f>
        <v>0.16059999999999999</v>
      </c>
      <c r="BE10" s="17">
        <f t="shared" si="16"/>
        <v>-0.26262626262626265</v>
      </c>
      <c r="BF10" s="106">
        <v>0.10100000000000001</v>
      </c>
      <c r="BG10" s="106">
        <f>13.8/100</f>
        <v>0.13800000000000001</v>
      </c>
      <c r="BH10" s="16">
        <f t="shared" si="17"/>
        <v>0.36633663366336638</v>
      </c>
      <c r="BI10" s="107">
        <v>-0.64949999999999997</v>
      </c>
      <c r="BJ10" s="106">
        <f>2.86/100</f>
        <v>2.86E-2</v>
      </c>
      <c r="BK10" s="17">
        <f>(BJ10-BI10)/BI10</f>
        <v>-1.0440338722093918</v>
      </c>
      <c r="BL10" s="106">
        <v>-0.10539999999999999</v>
      </c>
      <c r="BM10" s="106">
        <f>-68.39/100</f>
        <v>-0.68389999999999995</v>
      </c>
      <c r="BN10" s="16" t="s">
        <v>1</v>
      </c>
      <c r="BO10" s="107">
        <v>5.11E-2</v>
      </c>
      <c r="BP10" s="106">
        <f>0.12/100</f>
        <v>1.1999999999999999E-3</v>
      </c>
      <c r="BQ10" s="17">
        <f t="shared" si="19"/>
        <v>-0.97651663405088063</v>
      </c>
      <c r="BR10" s="106">
        <v>-8.9399999999999993E-2</v>
      </c>
      <c r="BS10" s="106">
        <f>1.81/100</f>
        <v>1.8100000000000002E-2</v>
      </c>
      <c r="BT10" s="34">
        <f t="shared" si="20"/>
        <v>-1.202460850111857</v>
      </c>
      <c r="BU10" s="107">
        <v>0.36509999999999998</v>
      </c>
      <c r="BV10" s="106">
        <f>39.1/100</f>
        <v>0.39100000000000001</v>
      </c>
      <c r="BW10" s="17">
        <f t="shared" si="21"/>
        <v>7.0939468638729214E-2</v>
      </c>
      <c r="BX10" s="106">
        <v>6.0499999999999998E-2</v>
      </c>
      <c r="BY10" s="106">
        <f>3/100</f>
        <v>0.03</v>
      </c>
      <c r="BZ10" s="16">
        <f t="shared" si="22"/>
        <v>-0.50413223140495866</v>
      </c>
      <c r="CA10" s="107">
        <v>-0.60670000000000002</v>
      </c>
      <c r="CB10" s="106">
        <f>-672.08/100</f>
        <v>-6.7208000000000006</v>
      </c>
      <c r="CC10" s="17" t="s">
        <v>1</v>
      </c>
    </row>
    <row r="11" spans="2:83" ht="15" customHeight="1" x14ac:dyDescent="0.25">
      <c r="B11" s="14" t="s">
        <v>51</v>
      </c>
      <c r="C11" s="31" t="s">
        <v>30</v>
      </c>
      <c r="D11" s="117">
        <v>3.8999999999999998E-3</v>
      </c>
      <c r="E11" s="104">
        <f>0.25/100</f>
        <v>2.5000000000000001E-3</v>
      </c>
      <c r="F11" s="17">
        <f t="shared" si="0"/>
        <v>-0.35897435897435892</v>
      </c>
      <c r="G11" s="114">
        <v>8.4699999999999998E-2</v>
      </c>
      <c r="H11" s="104">
        <f>6.66/100</f>
        <v>6.6600000000000006E-2</v>
      </c>
      <c r="I11" s="17">
        <f t="shared" si="1"/>
        <v>-0.21369539551357725</v>
      </c>
      <c r="J11" s="104">
        <v>8.8000000000000005E-3</v>
      </c>
      <c r="K11" s="104">
        <f>0.7/100</f>
        <v>6.9999999999999993E-3</v>
      </c>
      <c r="L11" s="17">
        <f t="shared" si="2"/>
        <v>-0.20454545454545467</v>
      </c>
      <c r="M11" s="117">
        <v>4.4900000000000002E-2</v>
      </c>
      <c r="N11" s="104">
        <f>3.24/100</f>
        <v>3.2400000000000005E-2</v>
      </c>
      <c r="O11" s="17">
        <f t="shared" si="3"/>
        <v>-0.27839643652561241</v>
      </c>
      <c r="P11" s="114">
        <v>5.5599999999999997E-2</v>
      </c>
      <c r="Q11" s="104">
        <f>5.83/100</f>
        <v>5.8299999999999998E-2</v>
      </c>
      <c r="R11" s="17">
        <f t="shared" si="4"/>
        <v>4.8561151079136715E-2</v>
      </c>
      <c r="S11" s="104">
        <v>1.38E-2</v>
      </c>
      <c r="T11" s="104">
        <f>4.04/100</f>
        <v>4.0399999999999998E-2</v>
      </c>
      <c r="U11" s="17">
        <f t="shared" si="5"/>
        <v>1.9275362318840579</v>
      </c>
      <c r="V11" s="104">
        <v>-7.4700000000000003E-2</v>
      </c>
      <c r="W11" s="104">
        <f>-5.26/100</f>
        <v>-5.2600000000000001E-2</v>
      </c>
      <c r="X11" s="16">
        <f t="shared" si="6"/>
        <v>-0.2958500669344043</v>
      </c>
      <c r="Y11" s="117">
        <v>1.2999999999999999E-3</v>
      </c>
      <c r="Z11" s="104">
        <f>0.77/100</f>
        <v>7.7000000000000002E-3</v>
      </c>
      <c r="AA11" s="17">
        <f t="shared" si="7"/>
        <v>4.9230769230769234</v>
      </c>
      <c r="AB11" s="114">
        <v>4.0000000000000001E-3</v>
      </c>
      <c r="AC11" s="104">
        <f>-70.4/100</f>
        <v>-0.70400000000000007</v>
      </c>
      <c r="AD11" s="17" t="s">
        <v>1</v>
      </c>
      <c r="AE11" s="104">
        <v>5.9999999999999995E-4</v>
      </c>
      <c r="AF11" s="104">
        <f>6.73/100</f>
        <v>6.7299999999999999E-2</v>
      </c>
      <c r="AG11" s="16">
        <f t="shared" si="9"/>
        <v>111.16666666666667</v>
      </c>
      <c r="AH11" s="117">
        <v>3.3799999999999997E-2</v>
      </c>
      <c r="AI11" s="104">
        <f>2.84/100</f>
        <v>2.8399999999999998E-2</v>
      </c>
      <c r="AJ11" s="17">
        <f t="shared" si="10"/>
        <v>-0.15976331360946744</v>
      </c>
      <c r="AK11" s="104">
        <v>7.5999999999999998E-2</v>
      </c>
      <c r="AL11" s="104">
        <f>11.13/100</f>
        <v>0.11130000000000001</v>
      </c>
      <c r="AM11" s="16">
        <f t="shared" si="11"/>
        <v>0.46447368421052648</v>
      </c>
      <c r="AN11" s="117">
        <v>3.7400000000000003E-2</v>
      </c>
      <c r="AO11" s="104">
        <f>1.86/100</f>
        <v>1.8600000000000002E-2</v>
      </c>
      <c r="AP11" s="17">
        <f t="shared" si="12"/>
        <v>-0.50267379679144386</v>
      </c>
      <c r="AQ11" s="104">
        <v>5.1900000000000002E-2</v>
      </c>
      <c r="AR11" s="104">
        <f>3.67/100</f>
        <v>3.6699999999999997E-2</v>
      </c>
      <c r="AS11" s="16">
        <f t="shared" si="13"/>
        <v>-0.29287090558766871</v>
      </c>
      <c r="AT11" s="117">
        <v>8.6999999999999994E-3</v>
      </c>
      <c r="AU11" s="104">
        <f>4.57/100</f>
        <v>4.5700000000000005E-2</v>
      </c>
      <c r="AV11" s="16">
        <f t="shared" si="14"/>
        <v>4.2528735632183921</v>
      </c>
      <c r="AW11" s="107">
        <v>2.1899999999999999E-2</v>
      </c>
      <c r="AX11" s="113">
        <f>2.37/100</f>
        <v>2.3700000000000002E-2</v>
      </c>
      <c r="AY11" s="17" t="s">
        <v>1</v>
      </c>
      <c r="AZ11" s="106">
        <v>0.28670000000000001</v>
      </c>
      <c r="BA11" s="106">
        <f>25.42/100</f>
        <v>0.25420000000000004</v>
      </c>
      <c r="BB11" s="16">
        <f t="shared" si="15"/>
        <v>-0.11335891175444707</v>
      </c>
      <c r="BC11" s="107">
        <v>0.1457</v>
      </c>
      <c r="BD11" s="106">
        <f>11.27/100</f>
        <v>0.11269999999999999</v>
      </c>
      <c r="BE11" s="17">
        <f t="shared" si="16"/>
        <v>-0.22649279341111875</v>
      </c>
      <c r="BF11" s="106">
        <v>9.7900000000000001E-2</v>
      </c>
      <c r="BG11" s="106">
        <f>11.72/100</f>
        <v>0.11720000000000001</v>
      </c>
      <c r="BH11" s="16">
        <f t="shared" si="17"/>
        <v>0.19713993871297253</v>
      </c>
      <c r="BI11" s="107">
        <v>-0.34810000000000002</v>
      </c>
      <c r="BJ11" s="106">
        <f>1.33/100</f>
        <v>1.3300000000000001E-2</v>
      </c>
      <c r="BK11" s="17">
        <f t="shared" si="23"/>
        <v>-1.0382074116633151</v>
      </c>
      <c r="BL11" s="106">
        <v>-5.45E-2</v>
      </c>
      <c r="BM11" s="106">
        <f>-12.83/100</f>
        <v>-0.1283</v>
      </c>
      <c r="BN11" s="16" t="s">
        <v>1</v>
      </c>
      <c r="BO11" s="107">
        <v>6.2399999999999997E-2</v>
      </c>
      <c r="BP11" s="106">
        <f>0.11/100</f>
        <v>1.1000000000000001E-3</v>
      </c>
      <c r="BQ11" s="17">
        <f t="shared" si="19"/>
        <v>-0.98237179487179493</v>
      </c>
      <c r="BR11" s="106">
        <v>-0.69020000000000004</v>
      </c>
      <c r="BS11" s="106">
        <f>6.5/100</f>
        <v>6.5000000000000002E-2</v>
      </c>
      <c r="BT11" s="34">
        <f t="shared" si="20"/>
        <v>-1.0941756012749928</v>
      </c>
      <c r="BU11" s="107">
        <v>0.35570000000000002</v>
      </c>
      <c r="BV11" s="106">
        <f>38.52/100</f>
        <v>0.38520000000000004</v>
      </c>
      <c r="BW11" s="17">
        <f t="shared" si="21"/>
        <v>8.2935057632836734E-2</v>
      </c>
      <c r="BX11" s="106">
        <v>0.11799999999999999</v>
      </c>
      <c r="BY11" s="106">
        <f>3.21/100</f>
        <v>3.2099999999999997E-2</v>
      </c>
      <c r="BZ11" s="16">
        <f t="shared" si="22"/>
        <v>-0.72796610169491538</v>
      </c>
      <c r="CA11" s="107">
        <v>-0.33100000000000002</v>
      </c>
      <c r="CB11" s="106">
        <f>-45.12/100</f>
        <v>-0.45119999999999999</v>
      </c>
      <c r="CC11" s="17" t="s">
        <v>1</v>
      </c>
    </row>
    <row r="12" spans="2:83" ht="15" customHeight="1" thickBot="1" x14ac:dyDescent="0.3">
      <c r="B12" s="19" t="s">
        <v>52</v>
      </c>
      <c r="C12" s="32" t="s">
        <v>31</v>
      </c>
      <c r="D12" s="118">
        <v>0.10979999999999999</v>
      </c>
      <c r="E12" s="105">
        <f>34.37/100</f>
        <v>0.34369999999999995</v>
      </c>
      <c r="F12" s="21">
        <f t="shared" si="0"/>
        <v>2.1302367941712199</v>
      </c>
      <c r="G12" s="115">
        <v>0.44130000000000003</v>
      </c>
      <c r="H12" s="105">
        <f>47.93/100</f>
        <v>0.4793</v>
      </c>
      <c r="I12" s="21">
        <f t="shared" si="1"/>
        <v>8.6109222750963013E-2</v>
      </c>
      <c r="J12" s="105">
        <v>0.50419999999999998</v>
      </c>
      <c r="K12" s="105">
        <f>48.88/100</f>
        <v>0.48880000000000001</v>
      </c>
      <c r="L12" s="21">
        <f t="shared" si="2"/>
        <v>-3.0543435144783755E-2</v>
      </c>
      <c r="M12" s="118">
        <v>0.95660000000000001</v>
      </c>
      <c r="N12" s="105">
        <f>55.29/100</f>
        <v>0.55289999999999995</v>
      </c>
      <c r="O12" s="21">
        <f t="shared" si="3"/>
        <v>-0.42201547146142593</v>
      </c>
      <c r="P12" s="115">
        <v>0.43209999999999998</v>
      </c>
      <c r="Q12" s="105">
        <f>40.84/100</f>
        <v>0.40840000000000004</v>
      </c>
      <c r="R12" s="21">
        <f t="shared" si="4"/>
        <v>-5.4848414718814957E-2</v>
      </c>
      <c r="S12" s="105">
        <v>0.16200000000000001</v>
      </c>
      <c r="T12" s="105">
        <f>26.22/100</f>
        <v>0.26219999999999999</v>
      </c>
      <c r="U12" s="21">
        <f t="shared" si="5"/>
        <v>0.61851851851851836</v>
      </c>
      <c r="V12" s="105">
        <v>0.45700000000000002</v>
      </c>
      <c r="W12" s="105">
        <f>41.56/100</f>
        <v>0.41560000000000002</v>
      </c>
      <c r="X12" s="20">
        <f>(W12-V12)/V12</f>
        <v>-9.0590809628008737E-2</v>
      </c>
      <c r="Y12" s="118">
        <v>0.43390000000000001</v>
      </c>
      <c r="Z12" s="105">
        <f>56.85/100</f>
        <v>0.56850000000000001</v>
      </c>
      <c r="AA12" s="21">
        <f t="shared" si="7"/>
        <v>0.31020972574325878</v>
      </c>
      <c r="AB12" s="115">
        <v>0.17169999999999999</v>
      </c>
      <c r="AC12" s="105">
        <f>7.8/100</f>
        <v>7.8E-2</v>
      </c>
      <c r="AD12" s="21">
        <f t="shared" si="8"/>
        <v>-0.54571927781013396</v>
      </c>
      <c r="AE12" s="105">
        <v>7.7799999999999994E-2</v>
      </c>
      <c r="AF12" s="105">
        <f>7.21/100</f>
        <v>7.2099999999999997E-2</v>
      </c>
      <c r="AG12" s="20">
        <f t="shared" si="9"/>
        <v>-7.3264781491002531E-2</v>
      </c>
      <c r="AH12" s="118">
        <v>0.5978</v>
      </c>
      <c r="AI12" s="105">
        <f>54.98/100</f>
        <v>0.54979999999999996</v>
      </c>
      <c r="AJ12" s="21">
        <f t="shared" si="10"/>
        <v>-8.0294412847106131E-2</v>
      </c>
      <c r="AK12" s="105">
        <v>0.37309999999999999</v>
      </c>
      <c r="AL12" s="105">
        <f>43.12/100</f>
        <v>0.43119999999999997</v>
      </c>
      <c r="AM12" s="20">
        <f t="shared" si="11"/>
        <v>0.15572232645403375</v>
      </c>
      <c r="AN12" s="118">
        <v>0.28610000000000002</v>
      </c>
      <c r="AO12" s="105">
        <f>29.5/100</f>
        <v>0.29499999999999998</v>
      </c>
      <c r="AP12" s="21">
        <f t="shared" si="12"/>
        <v>3.1108004194337513E-2</v>
      </c>
      <c r="AQ12" s="105">
        <v>0.4617</v>
      </c>
      <c r="AR12" s="105">
        <f>47.96/100</f>
        <v>0.47960000000000003</v>
      </c>
      <c r="AS12" s="20">
        <f t="shared" si="13"/>
        <v>3.8769763915962804E-2</v>
      </c>
      <c r="AT12" s="118">
        <v>0.49049999999999999</v>
      </c>
      <c r="AU12" s="105">
        <f>48.07/100</f>
        <v>0.48070000000000002</v>
      </c>
      <c r="AV12" s="20">
        <f t="shared" si="14"/>
        <v>-1.9979612640163048E-2</v>
      </c>
      <c r="AW12" s="108">
        <v>0.43990000000000001</v>
      </c>
      <c r="AX12" s="122">
        <f>38.62/100</f>
        <v>0.38619999999999999</v>
      </c>
      <c r="AY12" s="21">
        <f>(AX12-AW12)/AW12</f>
        <v>-0.12207319845419419</v>
      </c>
      <c r="AZ12" s="109">
        <v>0.34449999999999997</v>
      </c>
      <c r="BA12" s="109">
        <f>35.7/100</f>
        <v>0.35700000000000004</v>
      </c>
      <c r="BB12" s="20">
        <f t="shared" si="15"/>
        <v>3.6284470246734597E-2</v>
      </c>
      <c r="BC12" s="108">
        <v>0.31950000000000001</v>
      </c>
      <c r="BD12" s="109">
        <f>41.14/100</f>
        <v>0.41139999999999999</v>
      </c>
      <c r="BE12" s="21">
        <f>(BD12-BC12)/BC12</f>
        <v>0.28763693270735519</v>
      </c>
      <c r="BF12" s="109">
        <v>7.2499999999999995E-2</v>
      </c>
      <c r="BG12" s="109">
        <f>11.68/100</f>
        <v>0.1168</v>
      </c>
      <c r="BH12" s="20">
        <f t="shared" si="17"/>
        <v>0.61103448275862082</v>
      </c>
      <c r="BI12" s="108">
        <v>0.34300000000000003</v>
      </c>
      <c r="BJ12" s="109">
        <f>28.71/100</f>
        <v>0.28710000000000002</v>
      </c>
      <c r="BK12" s="21">
        <f t="shared" si="23"/>
        <v>-0.16297376093294461</v>
      </c>
      <c r="BL12" s="109">
        <v>0.36149999999999999</v>
      </c>
      <c r="BM12" s="109">
        <f>34.94/100</f>
        <v>0.34939999999999999</v>
      </c>
      <c r="BN12" s="20">
        <f t="shared" si="18"/>
        <v>-3.3471645919778699E-2</v>
      </c>
      <c r="BO12" s="108">
        <v>0.3669</v>
      </c>
      <c r="BP12" s="109">
        <f>38.23/100</f>
        <v>0.38229999999999997</v>
      </c>
      <c r="BQ12" s="21">
        <f t="shared" si="19"/>
        <v>4.1973289724720551E-2</v>
      </c>
      <c r="BR12" s="109">
        <v>8.4900000000000003E-2</v>
      </c>
      <c r="BS12" s="109">
        <f>19.89/100</f>
        <v>0.19889999999999999</v>
      </c>
      <c r="BT12" s="35">
        <f t="shared" si="20"/>
        <v>1.3427561837455828</v>
      </c>
      <c r="BU12" s="108">
        <v>0.31369999999999998</v>
      </c>
      <c r="BV12" s="109">
        <f>32.72/100</f>
        <v>0.32719999999999999</v>
      </c>
      <c r="BW12" s="21">
        <f t="shared" si="21"/>
        <v>4.3034746573159109E-2</v>
      </c>
      <c r="BX12" s="109">
        <v>5.8999999999999997E-2</v>
      </c>
      <c r="BY12" s="109">
        <f>21.6/100</f>
        <v>0.21600000000000003</v>
      </c>
      <c r="BZ12" s="20">
        <f t="shared" si="22"/>
        <v>2.6610169491525428</v>
      </c>
      <c r="CA12" s="108">
        <v>0.36170000000000002</v>
      </c>
      <c r="CB12" s="109">
        <f>40.59/100</f>
        <v>0.40590000000000004</v>
      </c>
      <c r="CC12" s="21">
        <f>(CB12-CA12)/CA12</f>
        <v>0.12220071882775785</v>
      </c>
    </row>
    <row r="14" spans="2:83" x14ac:dyDescent="0.25">
      <c r="C14" s="93"/>
      <c r="D14" s="94"/>
      <c r="E14" s="95"/>
      <c r="F14" s="94"/>
      <c r="G14" s="94"/>
      <c r="H14" s="95"/>
      <c r="I14" s="94"/>
      <c r="J14" s="94"/>
      <c r="K14" s="95"/>
      <c r="L14" s="94"/>
      <c r="M14" s="94"/>
      <c r="N14" s="95"/>
      <c r="O14" s="94"/>
      <c r="P14" s="94"/>
      <c r="Q14" s="95"/>
      <c r="R14" s="94"/>
      <c r="S14" s="94"/>
      <c r="T14" s="95"/>
      <c r="U14" s="94"/>
      <c r="V14" s="94"/>
      <c r="W14" s="94"/>
      <c r="X14" s="94"/>
      <c r="Y14" s="94"/>
      <c r="Z14" s="95"/>
      <c r="AA14" s="94"/>
      <c r="AB14" s="94"/>
      <c r="AC14" s="95"/>
      <c r="AD14" s="94"/>
      <c r="AE14" s="94"/>
      <c r="AF14" s="95"/>
      <c r="AG14" s="94"/>
      <c r="AH14" s="94"/>
      <c r="AI14" s="95"/>
      <c r="AJ14" s="94"/>
      <c r="AK14" s="94"/>
      <c r="AL14" s="95"/>
      <c r="AM14" s="94"/>
      <c r="AN14" s="94"/>
      <c r="AO14" s="95"/>
      <c r="AP14" s="94"/>
      <c r="AQ14" s="94"/>
      <c r="AR14" s="95"/>
      <c r="AS14" s="94"/>
      <c r="AT14" s="94"/>
      <c r="AU14" s="95"/>
      <c r="AV14" s="94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E14" s="23"/>
    </row>
    <row r="15" spans="2:83" x14ac:dyDescent="0.25">
      <c r="C15" s="93"/>
      <c r="D15" s="94"/>
      <c r="E15" s="95"/>
      <c r="F15" s="94"/>
      <c r="G15" s="94"/>
      <c r="H15" s="95"/>
      <c r="I15" s="94"/>
      <c r="J15" s="94"/>
      <c r="K15" s="95"/>
      <c r="L15" s="94"/>
      <c r="M15" s="94"/>
      <c r="N15" s="95"/>
      <c r="O15" s="94"/>
      <c r="P15" s="94"/>
      <c r="Q15" s="95"/>
      <c r="R15" s="94"/>
      <c r="S15" s="94"/>
      <c r="T15" s="95"/>
      <c r="U15" s="94"/>
      <c r="V15" s="94"/>
      <c r="W15" s="94"/>
      <c r="X15" s="94"/>
      <c r="Y15" s="94"/>
      <c r="Z15" s="95"/>
      <c r="AA15" s="94"/>
      <c r="AB15" s="94"/>
      <c r="AC15" s="95"/>
      <c r="AD15" s="94"/>
      <c r="AE15" s="94"/>
      <c r="AF15" s="95"/>
      <c r="AG15" s="94"/>
      <c r="AH15" s="94"/>
      <c r="AI15" s="95"/>
      <c r="AJ15" s="94"/>
      <c r="AK15" s="94"/>
      <c r="AL15" s="95"/>
      <c r="AM15" s="94"/>
      <c r="AN15" s="94"/>
      <c r="AO15" s="95"/>
      <c r="AP15" s="94"/>
      <c r="AQ15" s="94"/>
      <c r="AR15" s="95"/>
      <c r="AS15" s="94"/>
      <c r="AT15" s="94"/>
      <c r="AU15" s="95"/>
      <c r="AV15" s="94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</row>
    <row r="16" spans="2:83" x14ac:dyDescent="0.25">
      <c r="C16" s="93"/>
      <c r="D16" s="94"/>
      <c r="E16" s="95"/>
      <c r="F16" s="94"/>
      <c r="G16" s="94"/>
      <c r="H16" s="95"/>
      <c r="I16" s="94"/>
      <c r="J16" s="94"/>
      <c r="K16" s="95"/>
      <c r="L16" s="94"/>
      <c r="M16" s="94"/>
      <c r="N16" s="95"/>
      <c r="O16" s="94"/>
      <c r="P16" s="94"/>
      <c r="Q16" s="95"/>
      <c r="R16" s="94"/>
      <c r="S16" s="94"/>
      <c r="T16" s="95"/>
      <c r="U16" s="94"/>
      <c r="V16" s="94"/>
      <c r="W16" s="94"/>
      <c r="X16" s="94"/>
      <c r="Y16" s="94"/>
      <c r="Z16" s="95"/>
      <c r="AA16" s="94"/>
      <c r="AB16" s="94"/>
      <c r="AC16" s="95"/>
      <c r="AD16" s="94"/>
      <c r="AE16" s="94"/>
      <c r="AF16" s="95"/>
      <c r="AG16" s="94"/>
      <c r="AH16" s="94"/>
      <c r="AI16" s="95"/>
      <c r="AJ16" s="94"/>
      <c r="AK16" s="94"/>
      <c r="AL16" s="95"/>
      <c r="AM16" s="94"/>
      <c r="AN16" s="94"/>
      <c r="AO16" s="95"/>
      <c r="AP16" s="94"/>
      <c r="AQ16" s="94"/>
      <c r="AR16" s="95"/>
      <c r="AS16" s="94"/>
      <c r="AT16" s="94"/>
      <c r="AU16" s="95"/>
      <c r="AV16" s="94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</row>
    <row r="17" spans="3:81" x14ac:dyDescent="0.25">
      <c r="C17" s="93"/>
      <c r="D17" s="94"/>
      <c r="E17" s="95"/>
      <c r="F17" s="97"/>
      <c r="G17" s="94"/>
      <c r="H17" s="95"/>
      <c r="I17" s="97"/>
      <c r="J17" s="94"/>
      <c r="K17" s="95"/>
      <c r="L17" s="97"/>
      <c r="M17" s="94"/>
      <c r="N17" s="95"/>
      <c r="O17" s="97"/>
      <c r="P17" s="94"/>
      <c r="Q17" s="95"/>
      <c r="R17" s="97"/>
      <c r="S17" s="94"/>
      <c r="T17" s="95"/>
      <c r="U17" s="97"/>
      <c r="V17" s="97"/>
      <c r="W17" s="97"/>
      <c r="X17" s="97"/>
      <c r="Y17" s="94"/>
      <c r="Z17" s="95"/>
      <c r="AA17" s="97"/>
      <c r="AB17" s="94"/>
      <c r="AC17" s="95"/>
      <c r="AD17" s="97"/>
      <c r="AE17" s="94"/>
      <c r="AF17" s="95"/>
      <c r="AG17" s="97"/>
      <c r="AH17" s="94"/>
      <c r="AI17" s="95"/>
      <c r="AJ17" s="97"/>
      <c r="AK17" s="94"/>
      <c r="AL17" s="95"/>
      <c r="AM17" s="97"/>
      <c r="AN17" s="94"/>
      <c r="AO17" s="95"/>
      <c r="AP17" s="97"/>
      <c r="AQ17" s="94"/>
      <c r="AR17" s="95"/>
      <c r="AS17" s="97"/>
      <c r="AT17" s="94"/>
      <c r="AU17" s="95"/>
      <c r="AV17" s="97"/>
      <c r="AW17" s="96"/>
      <c r="AX17" s="96"/>
      <c r="AY17" s="98"/>
      <c r="AZ17" s="96"/>
      <c r="BA17" s="96"/>
      <c r="BB17" s="98"/>
      <c r="BC17" s="96"/>
      <c r="BD17" s="96"/>
      <c r="BE17" s="98"/>
      <c r="BF17" s="96"/>
      <c r="BG17" s="96"/>
      <c r="BH17" s="98"/>
      <c r="BI17" s="96"/>
      <c r="BJ17" s="96"/>
      <c r="BK17" s="98"/>
      <c r="BL17" s="96"/>
      <c r="BM17" s="96"/>
      <c r="BN17" s="98"/>
      <c r="BO17" s="96"/>
      <c r="BP17" s="96"/>
      <c r="BQ17" s="98"/>
      <c r="BR17" s="96"/>
      <c r="BS17" s="96"/>
      <c r="BT17" s="98"/>
      <c r="BU17" s="96"/>
      <c r="BV17" s="96"/>
      <c r="BW17" s="98"/>
      <c r="BX17" s="96"/>
      <c r="BY17" s="96"/>
      <c r="BZ17" s="98"/>
      <c r="CA17" s="96"/>
      <c r="CB17" s="96"/>
      <c r="CC17" s="98"/>
    </row>
    <row r="18" spans="3:81" x14ac:dyDescent="0.25">
      <c r="C18" s="93"/>
      <c r="D18" s="94"/>
      <c r="E18" s="95"/>
      <c r="F18" s="97"/>
      <c r="G18" s="94"/>
      <c r="H18" s="95"/>
      <c r="I18" s="97"/>
      <c r="J18" s="94"/>
      <c r="K18" s="95"/>
      <c r="L18" s="97"/>
      <c r="M18" s="94"/>
      <c r="N18" s="95"/>
      <c r="O18" s="97"/>
      <c r="P18" s="94"/>
      <c r="Q18" s="95"/>
      <c r="R18" s="97"/>
      <c r="S18" s="94"/>
      <c r="T18" s="95"/>
      <c r="U18" s="97"/>
      <c r="V18" s="97"/>
      <c r="W18" s="97"/>
      <c r="X18" s="97"/>
      <c r="Y18" s="94"/>
      <c r="Z18" s="95"/>
      <c r="AA18" s="97"/>
      <c r="AB18" s="94"/>
      <c r="AC18" s="95"/>
      <c r="AD18" s="97"/>
      <c r="AE18" s="94"/>
      <c r="AF18" s="95"/>
      <c r="AG18" s="97"/>
      <c r="AH18" s="94"/>
      <c r="AI18" s="95"/>
      <c r="AJ18" s="97"/>
      <c r="AK18" s="94"/>
      <c r="AL18" s="95"/>
      <c r="AM18" s="97"/>
      <c r="AN18" s="94"/>
      <c r="AO18" s="95"/>
      <c r="AP18" s="97"/>
      <c r="AQ18" s="94"/>
      <c r="AR18" s="95"/>
      <c r="AS18" s="97"/>
      <c r="AT18" s="94"/>
      <c r="AU18" s="95"/>
      <c r="AV18" s="97"/>
      <c r="AW18" s="99"/>
      <c r="AX18" s="96"/>
      <c r="AY18" s="98"/>
      <c r="AZ18" s="99"/>
      <c r="BA18" s="96"/>
      <c r="BB18" s="98"/>
      <c r="BC18" s="99"/>
      <c r="BD18" s="96"/>
      <c r="BE18" s="98"/>
      <c r="BF18" s="99"/>
      <c r="BG18" s="96"/>
      <c r="BH18" s="98"/>
      <c r="BI18" s="99"/>
      <c r="BJ18" s="96"/>
      <c r="BK18" s="98"/>
      <c r="BL18" s="99"/>
      <c r="BM18" s="96"/>
      <c r="BN18" s="98"/>
      <c r="BO18" s="99"/>
      <c r="BP18" s="96"/>
      <c r="BQ18" s="98"/>
      <c r="BR18" s="99"/>
      <c r="BS18" s="96"/>
      <c r="BT18" s="98"/>
      <c r="BU18" s="99"/>
      <c r="BV18" s="96"/>
      <c r="BW18" s="98"/>
      <c r="BX18" s="99"/>
      <c r="BY18" s="96"/>
      <c r="BZ18" s="98"/>
      <c r="CA18" s="99"/>
      <c r="CB18" s="96"/>
      <c r="CC18" s="98"/>
    </row>
    <row r="19" spans="3:81" x14ac:dyDescent="0.25">
      <c r="C19" s="93"/>
      <c r="D19" s="94"/>
      <c r="E19" s="95"/>
      <c r="F19" s="97"/>
      <c r="G19" s="94"/>
      <c r="H19" s="95"/>
      <c r="I19" s="97"/>
      <c r="J19" s="94"/>
      <c r="K19" s="95"/>
      <c r="L19" s="97"/>
      <c r="M19" s="94"/>
      <c r="N19" s="95"/>
      <c r="O19" s="97"/>
      <c r="P19" s="94"/>
      <c r="Q19" s="95"/>
      <c r="R19" s="97"/>
      <c r="S19" s="94"/>
      <c r="T19" s="95"/>
      <c r="U19" s="97"/>
      <c r="V19" s="97"/>
      <c r="W19" s="97"/>
      <c r="X19" s="97"/>
      <c r="Y19" s="94"/>
      <c r="Z19" s="95"/>
      <c r="AA19" s="97"/>
      <c r="AB19" s="94"/>
      <c r="AC19" s="95"/>
      <c r="AD19" s="97"/>
      <c r="AE19" s="94"/>
      <c r="AF19" s="95"/>
      <c r="AG19" s="97"/>
      <c r="AH19" s="94"/>
      <c r="AI19" s="95"/>
      <c r="AJ19" s="97"/>
      <c r="AK19" s="94"/>
      <c r="AL19" s="95"/>
      <c r="AM19" s="97"/>
      <c r="AN19" s="94"/>
      <c r="AO19" s="95"/>
      <c r="AP19" s="97"/>
      <c r="AQ19" s="94"/>
      <c r="AR19" s="95"/>
      <c r="AS19" s="97"/>
      <c r="AT19" s="94"/>
      <c r="AU19" s="95"/>
      <c r="AV19" s="97"/>
      <c r="AW19" s="99"/>
      <c r="AX19" s="96"/>
      <c r="AY19" s="98"/>
      <c r="AZ19" s="99"/>
      <c r="BA19" s="96"/>
      <c r="BB19" s="98"/>
      <c r="BC19" s="99"/>
      <c r="BD19" s="96"/>
      <c r="BE19" s="98"/>
      <c r="BF19" s="99"/>
      <c r="BG19" s="96"/>
      <c r="BH19" s="98"/>
      <c r="BI19" s="99"/>
      <c r="BJ19" s="96"/>
      <c r="BK19" s="98"/>
      <c r="BL19" s="99"/>
      <c r="BM19" s="96"/>
      <c r="BN19" s="98"/>
      <c r="BO19" s="99"/>
      <c r="BP19" s="96"/>
      <c r="BQ19" s="98"/>
      <c r="BR19" s="99"/>
      <c r="BS19" s="96"/>
      <c r="BT19" s="98"/>
      <c r="BU19" s="99"/>
      <c r="BV19" s="96"/>
      <c r="BW19" s="98"/>
      <c r="BX19" s="99"/>
      <c r="BY19" s="96"/>
      <c r="BZ19" s="98"/>
      <c r="CA19" s="99"/>
      <c r="CB19" s="96"/>
      <c r="CC19" s="98"/>
    </row>
    <row r="23" spans="3:81" x14ac:dyDescent="0.25">
      <c r="AK23" s="22"/>
    </row>
  </sheetData>
  <mergeCells count="31">
    <mergeCell ref="AW5:AY5"/>
    <mergeCell ref="G5:I5"/>
    <mergeCell ref="P5:R5"/>
    <mergeCell ref="AZ5:BB5"/>
    <mergeCell ref="AK5:AM5"/>
    <mergeCell ref="AE5:AG5"/>
    <mergeCell ref="S5:U5"/>
    <mergeCell ref="AH5:AJ5"/>
    <mergeCell ref="V5:X5"/>
    <mergeCell ref="B2:CC2"/>
    <mergeCell ref="Y5:AA5"/>
    <mergeCell ref="AB5:AD5"/>
    <mergeCell ref="J5:L5"/>
    <mergeCell ref="B4:B6"/>
    <mergeCell ref="C4:C6"/>
    <mergeCell ref="D4:AV4"/>
    <mergeCell ref="AW4:CC4"/>
    <mergeCell ref="CA5:CC5"/>
    <mergeCell ref="AN5:AP5"/>
    <mergeCell ref="AQ5:AS5"/>
    <mergeCell ref="AT5:AV5"/>
    <mergeCell ref="M5:O5"/>
    <mergeCell ref="BC5:BE5"/>
    <mergeCell ref="BR5:BT5"/>
    <mergeCell ref="D5:F5"/>
    <mergeCell ref="BX5:BZ5"/>
    <mergeCell ref="BF5:BH5"/>
    <mergeCell ref="BU5:BW5"/>
    <mergeCell ref="BL5:BN5"/>
    <mergeCell ref="BI5:BK5"/>
    <mergeCell ref="BO5:BQ5"/>
  </mergeCells>
  <phoneticPr fontId="29" type="noConversion"/>
  <pageMargins left="0.39370078740157483" right="0.39370078740157483" top="0.39370078740157483" bottom="0.39370078740157483" header="0.19685039370078741" footer="0.19685039370078741"/>
  <pageSetup paperSize="9" scale="93" orientation="landscape" r:id="rId1"/>
  <headerFooter>
    <oddHeader>&amp;LAgencija za osiguranje u BiH&amp;CStatistika tržišta osiguranja&amp;RGodišnje izvješće</oddHeader>
    <oddFooter>&amp;CU izvješće su uključeni podaci zaključno s 31.12.2009. godine.&amp;R&amp;P</oddFooter>
  </headerFooter>
  <colBreaks count="2" manualBreakCount="2">
    <brk id="60" max="11" man="1"/>
    <brk id="7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Kapital</vt:lpstr>
      <vt:lpstr>Ukupni prihod</vt:lpstr>
      <vt:lpstr>Dobit</vt:lpstr>
      <vt:lpstr>Poslovni pokazatelji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2018-02-23T13:07:45Z</cp:lastPrinted>
  <dcterms:created xsi:type="dcterms:W3CDTF">2011-07-19T14:05:47Z</dcterms:created>
  <dcterms:modified xsi:type="dcterms:W3CDTF">2018-02-23T13:10:16Z</dcterms:modified>
</cp:coreProperties>
</file>